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62e72c232faf309c/Nova Allplats/Seven Code Card/"/>
    </mc:Choice>
  </mc:AlternateContent>
  <xr:revisionPtr revIDLastSave="2" documentId="8_{B59EA41F-8958-4D2E-9081-EA31215EB032}" xr6:coauthVersionLast="46" xr6:coauthVersionMax="46" xr10:uidLastSave="{74959019-9524-46B3-A956-26C45FB339E4}"/>
  <bookViews>
    <workbookView xWindow="20370" yWindow="-120" windowWidth="20730" windowHeight="11160" xr2:uid="{00000000-000D-0000-FFFF-FFFF00000000}"/>
  </bookViews>
  <sheets>
    <sheet name="SIMULADOR" sheetId="2" r:id="rId1"/>
    <sheet name="ORIENTAÇÃO SIMULADOR" sheetId="8" r:id="rId2"/>
    <sheet name="TABELA DE TAXAS" sheetId="9" r:id="rId3"/>
    <sheet name="QR" sheetId="7" state="hidden" r:id="rId4"/>
    <sheet name="Apoio" sheetId="3" state="hidden" r:id="rId5"/>
  </sheets>
  <definedNames>
    <definedName name="_xlnm.Print_Area" localSheetId="3">QR!#REF!</definedName>
    <definedName name="_xlnm.Print_Area" localSheetId="0">SIMULADOR!$H$1:$W$157</definedName>
    <definedName name="_xlnm.Print_Titles" localSheetId="3">QR!$1:$1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  <c r="C3" i="2"/>
  <c r="C5" i="2"/>
  <c r="C2" i="2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F5" i="2"/>
  <c r="T9" i="2"/>
  <c r="T10" i="2"/>
  <c r="C6" i="2"/>
  <c r="C10" i="2"/>
  <c r="D42" i="7"/>
  <c r="H13" i="7"/>
  <c r="H47" i="7"/>
  <c r="H46" i="7"/>
  <c r="H45" i="7"/>
  <c r="H44" i="7"/>
  <c r="H43" i="7"/>
  <c r="D39" i="7"/>
  <c r="D26" i="7"/>
  <c r="H14" i="7"/>
  <c r="F30" i="2"/>
  <c r="D24" i="7"/>
  <c r="C14" i="7"/>
  <c r="C13" i="7"/>
  <c r="I29" i="2"/>
  <c r="F32" i="2"/>
  <c r="F31" i="2"/>
  <c r="F28" i="2"/>
  <c r="F25" i="2"/>
  <c r="I25" i="2"/>
  <c r="I24" i="2"/>
  <c r="I23" i="2"/>
  <c r="F14" i="2"/>
  <c r="F15" i="2"/>
  <c r="C20" i="2"/>
  <c r="W13" i="2"/>
  <c r="I15" i="2"/>
  <c r="H42" i="7"/>
  <c r="T8" i="2"/>
  <c r="T7" i="2"/>
  <c r="V7" i="2"/>
  <c r="H38" i="7"/>
  <c r="I26" i="2"/>
  <c r="J27" i="2"/>
  <c r="J23" i="2"/>
  <c r="J24" i="2"/>
  <c r="J25" i="2"/>
  <c r="N14" i="2"/>
  <c r="T14" i="2"/>
  <c r="U14" i="2"/>
  <c r="W10" i="2"/>
  <c r="W9" i="2"/>
  <c r="W8" i="2"/>
  <c r="W7" i="2"/>
  <c r="D12" i="7"/>
  <c r="J26" i="2"/>
  <c r="C18" i="2"/>
  <c r="V8" i="2"/>
  <c r="J28" i="2"/>
  <c r="I16" i="2"/>
  <c r="I30" i="2"/>
  <c r="H39" i="7"/>
  <c r="Q14" i="2"/>
  <c r="S14" i="2"/>
  <c r="H26" i="7"/>
  <c r="H28" i="7"/>
  <c r="D14" i="7"/>
  <c r="H16" i="7"/>
  <c r="D13" i="7"/>
  <c r="D25" i="7"/>
  <c r="D41" i="7"/>
  <c r="H24" i="7"/>
  <c r="H27" i="7"/>
  <c r="D18" i="7"/>
  <c r="D23" i="7"/>
  <c r="H17" i="7"/>
  <c r="D38" i="7"/>
  <c r="D47" i="7"/>
  <c r="F29" i="2"/>
  <c r="P14" i="2"/>
  <c r="H23" i="7"/>
  <c r="O14" i="2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R14" i="2"/>
  <c r="W14" i="2"/>
  <c r="H25" i="7"/>
  <c r="V14" i="2"/>
  <c r="H29" i="7"/>
  <c r="N15" i="2"/>
  <c r="Q15" i="2"/>
  <c r="T15" i="2"/>
  <c r="U15" i="2"/>
  <c r="S15" i="2"/>
  <c r="P15" i="2"/>
  <c r="R15" i="2"/>
  <c r="V15" i="2"/>
  <c r="W15" i="2"/>
  <c r="N16" i="2"/>
  <c r="Q16" i="2"/>
  <c r="T16" i="2"/>
  <c r="U16" i="2"/>
  <c r="P16" i="2"/>
  <c r="W16" i="2"/>
  <c r="S16" i="2"/>
  <c r="R16" i="2"/>
  <c r="V16" i="2"/>
  <c r="N17" i="2"/>
  <c r="Q17" i="2"/>
  <c r="P17" i="2"/>
  <c r="W17" i="2"/>
  <c r="T17" i="2"/>
  <c r="U17" i="2"/>
  <c r="S17" i="2"/>
  <c r="R17" i="2"/>
  <c r="V17" i="2"/>
  <c r="N18" i="2"/>
  <c r="S18" i="2"/>
  <c r="T18" i="2"/>
  <c r="U18" i="2"/>
  <c r="Q18" i="2"/>
  <c r="P18" i="2"/>
  <c r="R18" i="2"/>
  <c r="V18" i="2"/>
  <c r="W18" i="2"/>
  <c r="N19" i="2"/>
  <c r="P19" i="2"/>
  <c r="S19" i="2"/>
  <c r="Q19" i="2"/>
  <c r="W19" i="2"/>
  <c r="N20" i="2"/>
  <c r="S20" i="2"/>
  <c r="T19" i="2"/>
  <c r="U19" i="2"/>
  <c r="R19" i="2"/>
  <c r="V19" i="2"/>
  <c r="T20" i="2"/>
  <c r="U20" i="2"/>
  <c r="Q20" i="2"/>
  <c r="P20" i="2"/>
  <c r="W20" i="2"/>
  <c r="R20" i="2"/>
  <c r="V20" i="2"/>
  <c r="N21" i="2"/>
  <c r="T21" i="2"/>
  <c r="U21" i="2"/>
  <c r="P21" i="2"/>
  <c r="S21" i="2"/>
  <c r="Q21" i="2"/>
  <c r="W21" i="2"/>
  <c r="R21" i="2"/>
  <c r="V21" i="2"/>
  <c r="N22" i="2"/>
  <c r="Q22" i="2"/>
  <c r="S22" i="2"/>
  <c r="T22" i="2"/>
  <c r="U22" i="2"/>
  <c r="P22" i="2"/>
  <c r="W22" i="2"/>
  <c r="N23" i="2"/>
  <c r="S23" i="2"/>
  <c r="R22" i="2"/>
  <c r="V22" i="2"/>
  <c r="T23" i="2"/>
  <c r="U23" i="2"/>
  <c r="Q23" i="2"/>
  <c r="P23" i="2"/>
  <c r="R23" i="2"/>
  <c r="V23" i="2"/>
  <c r="W23" i="2"/>
  <c r="N24" i="2"/>
  <c r="P24" i="2"/>
  <c r="S24" i="2"/>
  <c r="Q24" i="2"/>
  <c r="W24" i="2"/>
  <c r="T24" i="2"/>
  <c r="U24" i="2"/>
  <c r="N25" i="2"/>
  <c r="T25" i="2"/>
  <c r="U25" i="2"/>
  <c r="R24" i="2"/>
  <c r="V24" i="2"/>
  <c r="Q25" i="2"/>
  <c r="S25" i="2"/>
  <c r="P25" i="2"/>
  <c r="R25" i="2"/>
  <c r="V25" i="2"/>
  <c r="W25" i="2"/>
  <c r="N26" i="2"/>
  <c r="S26" i="2"/>
  <c r="P26" i="2"/>
  <c r="Q26" i="2"/>
  <c r="W26" i="2"/>
  <c r="T26" i="2"/>
  <c r="U26" i="2"/>
  <c r="N27" i="2"/>
  <c r="S27" i="2"/>
  <c r="R26" i="2"/>
  <c r="V26" i="2"/>
  <c r="Q27" i="2"/>
  <c r="P27" i="2"/>
  <c r="W27" i="2"/>
  <c r="T27" i="2"/>
  <c r="U27" i="2"/>
  <c r="R27" i="2"/>
  <c r="V27" i="2"/>
  <c r="N28" i="2"/>
  <c r="S28" i="2"/>
  <c r="T28" i="2"/>
  <c r="U28" i="2"/>
  <c r="Q28" i="2"/>
  <c r="P28" i="2"/>
  <c r="W28" i="2"/>
  <c r="N29" i="2"/>
  <c r="Q29" i="2"/>
  <c r="T29" i="2"/>
  <c r="U29" i="2"/>
  <c r="S29" i="2"/>
  <c r="P29" i="2"/>
  <c r="R29" i="2"/>
  <c r="V29" i="2"/>
  <c r="R28" i="2"/>
  <c r="V28" i="2"/>
  <c r="W29" i="2"/>
  <c r="N30" i="2"/>
  <c r="S30" i="2"/>
  <c r="Q30" i="2"/>
  <c r="P30" i="2"/>
  <c r="W30" i="2"/>
  <c r="T30" i="2"/>
  <c r="U30" i="2"/>
  <c r="N31" i="2"/>
  <c r="Q31" i="2"/>
  <c r="S31" i="2"/>
  <c r="T31" i="2"/>
  <c r="U31" i="2"/>
  <c r="P31" i="2"/>
  <c r="R31" i="2"/>
  <c r="V31" i="2"/>
  <c r="R30" i="2"/>
  <c r="V30" i="2"/>
  <c r="W31" i="2"/>
  <c r="N32" i="2"/>
  <c r="S32" i="2"/>
  <c r="Q32" i="2"/>
  <c r="P32" i="2"/>
  <c r="W32" i="2"/>
  <c r="R32" i="2"/>
  <c r="N33" i="2"/>
  <c r="P33" i="2"/>
  <c r="S33" i="2"/>
  <c r="T33" i="2"/>
  <c r="U33" i="2"/>
  <c r="Q33" i="2"/>
  <c r="R33" i="2"/>
  <c r="V33" i="2"/>
  <c r="T32" i="2"/>
  <c r="U32" i="2"/>
  <c r="W33" i="2"/>
  <c r="V32" i="2"/>
  <c r="N34" i="2"/>
  <c r="S34" i="2"/>
  <c r="Q34" i="2"/>
  <c r="T34" i="2"/>
  <c r="U34" i="2"/>
  <c r="P34" i="2"/>
  <c r="R34" i="2"/>
  <c r="V34" i="2"/>
  <c r="W34" i="2"/>
  <c r="N35" i="2"/>
  <c r="Q35" i="2"/>
  <c r="T35" i="2"/>
  <c r="U35" i="2"/>
  <c r="S35" i="2"/>
  <c r="P35" i="2"/>
  <c r="R35" i="2"/>
  <c r="V35" i="2"/>
  <c r="W35" i="2"/>
  <c r="N36" i="2"/>
  <c r="T36" i="2"/>
  <c r="U36" i="2"/>
  <c r="S36" i="2"/>
  <c r="Q36" i="2"/>
  <c r="P36" i="2"/>
  <c r="W36" i="2"/>
  <c r="R36" i="2"/>
  <c r="V36" i="2"/>
  <c r="N37" i="2"/>
  <c r="Q37" i="2"/>
  <c r="S37" i="2"/>
  <c r="T37" i="2"/>
  <c r="U37" i="2"/>
  <c r="P37" i="2"/>
  <c r="R37" i="2"/>
  <c r="V37" i="2"/>
  <c r="W37" i="2"/>
  <c r="N38" i="2"/>
  <c r="Q38" i="2"/>
  <c r="P38" i="2"/>
  <c r="S38" i="2"/>
  <c r="T38" i="2"/>
  <c r="U38" i="2"/>
  <c r="R38" i="2"/>
  <c r="V38" i="2"/>
  <c r="W38" i="2"/>
  <c r="N39" i="2"/>
  <c r="Q39" i="2"/>
  <c r="S39" i="2"/>
  <c r="T39" i="2"/>
  <c r="U39" i="2"/>
  <c r="P39" i="2"/>
  <c r="R39" i="2"/>
  <c r="V39" i="2"/>
  <c r="W39" i="2"/>
  <c r="N40" i="2"/>
  <c r="P40" i="2"/>
  <c r="T40" i="2"/>
  <c r="U40" i="2"/>
  <c r="S40" i="2"/>
  <c r="Q40" i="2"/>
  <c r="W40" i="2"/>
  <c r="R40" i="2"/>
  <c r="V40" i="2"/>
  <c r="N41" i="2"/>
  <c r="S41" i="2"/>
  <c r="Q41" i="2"/>
  <c r="P41" i="2"/>
  <c r="R41" i="2"/>
  <c r="T41" i="2"/>
  <c r="U41" i="2"/>
  <c r="V41" i="2"/>
  <c r="W41" i="2"/>
  <c r="N42" i="2"/>
  <c r="T42" i="2"/>
  <c r="U42" i="2"/>
  <c r="P42" i="2"/>
  <c r="S42" i="2"/>
  <c r="Q42" i="2"/>
  <c r="W42" i="2"/>
  <c r="N43" i="2"/>
  <c r="Q43" i="2"/>
  <c r="S43" i="2"/>
  <c r="T43" i="2"/>
  <c r="U43" i="2"/>
  <c r="P43" i="2"/>
  <c r="R43" i="2"/>
  <c r="V43" i="2"/>
  <c r="R42" i="2"/>
  <c r="V42" i="2"/>
  <c r="W43" i="2"/>
  <c r="N44" i="2"/>
  <c r="T44" i="2"/>
  <c r="U44" i="2"/>
  <c r="S44" i="2"/>
  <c r="P44" i="2"/>
  <c r="Q44" i="2"/>
  <c r="W44" i="2"/>
  <c r="R44" i="2"/>
  <c r="V44" i="2"/>
  <c r="N45" i="2"/>
  <c r="P45" i="2"/>
  <c r="Q45" i="2"/>
  <c r="W45" i="2"/>
  <c r="N46" i="2"/>
  <c r="S46" i="2"/>
  <c r="T45" i="2"/>
  <c r="U45" i="2"/>
  <c r="R45" i="2"/>
  <c r="S45" i="2"/>
  <c r="P46" i="2"/>
  <c r="T46" i="2"/>
  <c r="U46" i="2"/>
  <c r="V45" i="2"/>
  <c r="Q46" i="2"/>
  <c r="W46" i="2"/>
  <c r="N47" i="2"/>
  <c r="T47" i="2"/>
  <c r="U47" i="2"/>
  <c r="P47" i="2"/>
  <c r="Q47" i="2"/>
  <c r="W47" i="2"/>
  <c r="S47" i="2"/>
  <c r="R46" i="2"/>
  <c r="V46" i="2"/>
  <c r="R47" i="2"/>
  <c r="V47" i="2"/>
  <c r="N48" i="2"/>
  <c r="P48" i="2"/>
  <c r="Q48" i="2"/>
  <c r="W48" i="2"/>
  <c r="S48" i="2"/>
  <c r="T48" i="2"/>
  <c r="U48" i="2"/>
  <c r="R48" i="2"/>
  <c r="V48" i="2"/>
  <c r="N49" i="2"/>
  <c r="T49" i="2"/>
  <c r="U49" i="2"/>
  <c r="S49" i="2"/>
  <c r="Q49" i="2"/>
  <c r="P49" i="2"/>
  <c r="R49" i="2"/>
  <c r="V49" i="2"/>
  <c r="W49" i="2"/>
  <c r="N50" i="2"/>
  <c r="S50" i="2"/>
  <c r="Q50" i="2"/>
  <c r="P50" i="2"/>
  <c r="R50" i="2"/>
  <c r="T50" i="2"/>
  <c r="U50" i="2"/>
  <c r="W50" i="2"/>
  <c r="V50" i="2"/>
  <c r="N51" i="2"/>
  <c r="Q51" i="2"/>
  <c r="S51" i="2"/>
  <c r="T51" i="2"/>
  <c r="U51" i="2"/>
  <c r="P51" i="2"/>
  <c r="R51" i="2"/>
  <c r="V51" i="2"/>
  <c r="W51" i="2"/>
  <c r="N52" i="2"/>
  <c r="S52" i="2"/>
  <c r="Q52" i="2"/>
  <c r="P52" i="2"/>
  <c r="T52" i="2"/>
  <c r="U52" i="2"/>
  <c r="R52" i="2"/>
  <c r="V52" i="2"/>
  <c r="W52" i="2"/>
  <c r="N53" i="2"/>
  <c r="Q53" i="2"/>
  <c r="S53" i="2"/>
  <c r="T53" i="2"/>
  <c r="U53" i="2"/>
  <c r="P53" i="2"/>
  <c r="R53" i="2"/>
  <c r="V53" i="2"/>
  <c r="W53" i="2"/>
  <c r="N54" i="2"/>
  <c r="S54" i="2"/>
  <c r="P54" i="2"/>
  <c r="T54" i="2"/>
  <c r="U54" i="2"/>
  <c r="Q54" i="2"/>
  <c r="W54" i="2"/>
  <c r="N55" i="2"/>
  <c r="S55" i="2"/>
  <c r="R54" i="2"/>
  <c r="V54" i="2"/>
  <c r="Q55" i="2"/>
  <c r="T55" i="2"/>
  <c r="U55" i="2"/>
  <c r="P55" i="2"/>
  <c r="R55" i="2"/>
  <c r="V55" i="2"/>
  <c r="W55" i="2"/>
  <c r="N56" i="2"/>
  <c r="P56" i="2"/>
  <c r="Q56" i="2"/>
  <c r="W56" i="2"/>
  <c r="T56" i="2"/>
  <c r="U56" i="2"/>
  <c r="S56" i="2"/>
  <c r="R56" i="2"/>
  <c r="V56" i="2"/>
  <c r="N57" i="2"/>
  <c r="P57" i="2"/>
  <c r="S57" i="2"/>
  <c r="Q57" i="2"/>
  <c r="W57" i="2"/>
  <c r="T57" i="2"/>
  <c r="U57" i="2"/>
  <c r="N58" i="2"/>
  <c r="Q58" i="2"/>
  <c r="P58" i="2"/>
  <c r="S58" i="2"/>
  <c r="T58" i="2"/>
  <c r="U58" i="2"/>
  <c r="R57" i="2"/>
  <c r="V57" i="2"/>
  <c r="R58" i="2"/>
  <c r="V58" i="2"/>
  <c r="W58" i="2"/>
  <c r="N59" i="2"/>
  <c r="T59" i="2"/>
  <c r="U59" i="2"/>
  <c r="Q59" i="2"/>
  <c r="S59" i="2"/>
  <c r="P59" i="2"/>
  <c r="R59" i="2"/>
  <c r="V59" i="2"/>
  <c r="W59" i="2"/>
  <c r="N60" i="2"/>
  <c r="P60" i="2"/>
  <c r="T60" i="2"/>
  <c r="U60" i="2"/>
  <c r="S60" i="2"/>
  <c r="Q60" i="2"/>
  <c r="W60" i="2"/>
  <c r="R60" i="2"/>
  <c r="V60" i="2"/>
  <c r="N61" i="2"/>
  <c r="P61" i="2"/>
  <c r="Q61" i="2"/>
  <c r="W61" i="2"/>
  <c r="S61" i="2"/>
  <c r="T61" i="2"/>
  <c r="U61" i="2"/>
  <c r="R61" i="2"/>
  <c r="V61" i="2"/>
  <c r="N62" i="2"/>
  <c r="S62" i="2"/>
  <c r="Q62" i="2"/>
  <c r="T62" i="2"/>
  <c r="U62" i="2"/>
  <c r="P62" i="2"/>
  <c r="R62" i="2"/>
  <c r="V62" i="2"/>
  <c r="W62" i="2"/>
  <c r="N63" i="2"/>
  <c r="T63" i="2"/>
  <c r="U63" i="2"/>
  <c r="P63" i="2"/>
  <c r="S63" i="2"/>
  <c r="Q63" i="2"/>
  <c r="W63" i="2"/>
  <c r="N64" i="2"/>
  <c r="P64" i="2"/>
  <c r="R63" i="2"/>
  <c r="V63" i="2"/>
  <c r="T64" i="2"/>
  <c r="U64" i="2"/>
  <c r="Q64" i="2"/>
  <c r="W64" i="2"/>
  <c r="S64" i="2"/>
  <c r="N65" i="2"/>
  <c r="T65" i="2"/>
  <c r="U65" i="2"/>
  <c r="P65" i="2"/>
  <c r="R64" i="2"/>
  <c r="V64" i="2"/>
  <c r="Q65" i="2"/>
  <c r="W65" i="2"/>
  <c r="S65" i="2"/>
  <c r="N66" i="2"/>
  <c r="S66" i="2"/>
  <c r="R65" i="2"/>
  <c r="V65" i="2"/>
  <c r="T66" i="2"/>
  <c r="U66" i="2"/>
  <c r="Q66" i="2"/>
  <c r="P66" i="2"/>
  <c r="R66" i="2"/>
  <c r="V66" i="2"/>
  <c r="W66" i="2"/>
  <c r="N67" i="2"/>
  <c r="P67" i="2"/>
  <c r="Q67" i="2"/>
  <c r="W67" i="2"/>
  <c r="N68" i="2"/>
  <c r="S68" i="2"/>
  <c r="T67" i="2"/>
  <c r="U67" i="2"/>
  <c r="S67" i="2"/>
  <c r="T68" i="2"/>
  <c r="U68" i="2"/>
  <c r="Q68" i="2"/>
  <c r="R67" i="2"/>
  <c r="V67" i="2"/>
  <c r="P68" i="2"/>
  <c r="W68" i="2"/>
  <c r="N69" i="2"/>
  <c r="S69" i="2"/>
  <c r="T69" i="2"/>
  <c r="U69" i="2"/>
  <c r="R68" i="2"/>
  <c r="V68" i="2"/>
  <c r="Q69" i="2"/>
  <c r="P69" i="2"/>
  <c r="R69" i="2"/>
  <c r="V69" i="2"/>
  <c r="W69" i="2"/>
  <c r="N70" i="2"/>
  <c r="Q70" i="2"/>
  <c r="S70" i="2"/>
  <c r="P70" i="2"/>
  <c r="W70" i="2"/>
  <c r="T70" i="2"/>
  <c r="U70" i="2"/>
  <c r="R70" i="2"/>
  <c r="V70" i="2"/>
  <c r="N71" i="2"/>
  <c r="Q71" i="2"/>
  <c r="P71" i="2"/>
  <c r="R71" i="2"/>
  <c r="S71" i="2"/>
  <c r="W71" i="2"/>
  <c r="N72" i="2"/>
  <c r="Q72" i="2"/>
  <c r="T71" i="2"/>
  <c r="U71" i="2"/>
  <c r="V71" i="2"/>
  <c r="P72" i="2"/>
  <c r="R72" i="2"/>
  <c r="S72" i="2"/>
  <c r="T72" i="2"/>
  <c r="U72" i="2"/>
  <c r="V72" i="2"/>
  <c r="W72" i="2"/>
  <c r="N73" i="2"/>
  <c r="Q73" i="2"/>
  <c r="T73" i="2"/>
  <c r="U73" i="2"/>
  <c r="S73" i="2"/>
  <c r="P73" i="2"/>
  <c r="W73" i="2"/>
  <c r="N74" i="2"/>
  <c r="T74" i="2"/>
  <c r="U74" i="2"/>
  <c r="R73" i="2"/>
  <c r="V73" i="2"/>
  <c r="S74" i="2"/>
  <c r="P74" i="2"/>
  <c r="Q74" i="2"/>
  <c r="R74" i="2"/>
  <c r="V74" i="2"/>
  <c r="W74" i="2"/>
  <c r="N75" i="2"/>
  <c r="P75" i="2"/>
  <c r="S75" i="2"/>
  <c r="T75" i="2"/>
  <c r="U75" i="2"/>
  <c r="Q75" i="2"/>
  <c r="W75" i="2"/>
  <c r="R75" i="2"/>
  <c r="V75" i="2"/>
  <c r="N76" i="2"/>
  <c r="T76" i="2"/>
  <c r="U76" i="2"/>
  <c r="P76" i="2"/>
  <c r="S76" i="2"/>
  <c r="Q76" i="2"/>
  <c r="W76" i="2"/>
  <c r="R76" i="2"/>
  <c r="V76" i="2"/>
  <c r="N77" i="2"/>
  <c r="Q77" i="2"/>
  <c r="S77" i="2"/>
  <c r="P77" i="2"/>
  <c r="R77" i="2"/>
  <c r="T77" i="2"/>
  <c r="U77" i="2"/>
  <c r="W77" i="2"/>
  <c r="N78" i="2"/>
  <c r="V77" i="2"/>
  <c r="P78" i="2"/>
  <c r="T78" i="2"/>
  <c r="U78" i="2"/>
  <c r="Q78" i="2"/>
  <c r="W78" i="2"/>
  <c r="S78" i="2"/>
  <c r="R78" i="2"/>
  <c r="V78" i="2"/>
  <c r="N79" i="2"/>
  <c r="Q79" i="2"/>
  <c r="P79" i="2"/>
  <c r="R79" i="2"/>
  <c r="T79" i="2"/>
  <c r="U79" i="2"/>
  <c r="S79" i="2"/>
  <c r="V79" i="2"/>
  <c r="W79" i="2"/>
  <c r="N80" i="2"/>
  <c r="S80" i="2"/>
  <c r="P80" i="2"/>
  <c r="Q80" i="2"/>
  <c r="W80" i="2"/>
  <c r="T80" i="2"/>
  <c r="U80" i="2"/>
  <c r="R80" i="2"/>
  <c r="N81" i="2"/>
  <c r="S81" i="2"/>
  <c r="Q81" i="2"/>
  <c r="T81" i="2"/>
  <c r="U81" i="2"/>
  <c r="P81" i="2"/>
  <c r="R81" i="2"/>
  <c r="V81" i="2"/>
  <c r="V80" i="2"/>
  <c r="W81" i="2"/>
  <c r="N82" i="2"/>
  <c r="S82" i="2"/>
  <c r="P82" i="2"/>
  <c r="Q82" i="2"/>
  <c r="W82" i="2"/>
  <c r="T82" i="2"/>
  <c r="U82" i="2"/>
  <c r="R82" i="2"/>
  <c r="V82" i="2"/>
  <c r="N83" i="2"/>
  <c r="P83" i="2"/>
  <c r="T83" i="2"/>
  <c r="U83" i="2"/>
  <c r="S83" i="2"/>
  <c r="Q83" i="2"/>
  <c r="W83" i="2"/>
  <c r="N84" i="2"/>
  <c r="Q84" i="2"/>
  <c r="P84" i="2"/>
  <c r="T84" i="2"/>
  <c r="U84" i="2"/>
  <c r="R83" i="2"/>
  <c r="V83" i="2"/>
  <c r="W84" i="2"/>
  <c r="S84" i="2"/>
  <c r="R84" i="2"/>
  <c r="V84" i="2"/>
  <c r="N85" i="2"/>
  <c r="Q85" i="2"/>
  <c r="P85" i="2"/>
  <c r="W85" i="2"/>
  <c r="S85" i="2"/>
  <c r="N86" i="2"/>
  <c r="P86" i="2"/>
  <c r="T85" i="2"/>
  <c r="U85" i="2"/>
  <c r="R85" i="2"/>
  <c r="V85" i="2"/>
  <c r="T86" i="2"/>
  <c r="U86" i="2"/>
  <c r="Q86" i="2"/>
  <c r="W86" i="2"/>
  <c r="S86" i="2"/>
  <c r="N87" i="2"/>
  <c r="P87" i="2"/>
  <c r="R86" i="2"/>
  <c r="V86" i="2"/>
  <c r="Q87" i="2"/>
  <c r="W87" i="2"/>
  <c r="T87" i="2"/>
  <c r="U87" i="2"/>
  <c r="S87" i="2"/>
  <c r="R87" i="2"/>
  <c r="V87" i="2"/>
  <c r="N88" i="2"/>
  <c r="Q88" i="2"/>
  <c r="T88" i="2"/>
  <c r="U88" i="2"/>
  <c r="S88" i="2"/>
  <c r="P88" i="2"/>
  <c r="W88" i="2"/>
  <c r="N89" i="2"/>
  <c r="Q89" i="2"/>
  <c r="P89" i="2"/>
  <c r="W89" i="2"/>
  <c r="R89" i="2"/>
  <c r="R88" i="2"/>
  <c r="V88" i="2"/>
  <c r="N90" i="2"/>
  <c r="P90" i="2"/>
  <c r="S90" i="2"/>
  <c r="Q90" i="2"/>
  <c r="W90" i="2"/>
  <c r="T90" i="2"/>
  <c r="U90" i="2"/>
  <c r="S89" i="2"/>
  <c r="T89" i="2"/>
  <c r="U89" i="2"/>
  <c r="V89" i="2"/>
  <c r="R90" i="2"/>
  <c r="V90" i="2"/>
  <c r="N91" i="2"/>
  <c r="Q91" i="2"/>
  <c r="S91" i="2"/>
  <c r="T91" i="2"/>
  <c r="U91" i="2"/>
  <c r="P91" i="2"/>
  <c r="R91" i="2"/>
  <c r="V91" i="2"/>
  <c r="W91" i="2"/>
  <c r="N92" i="2"/>
  <c r="S92" i="2"/>
  <c r="T92" i="2"/>
  <c r="U92" i="2"/>
  <c r="P92" i="2"/>
  <c r="Q92" i="2"/>
  <c r="W92" i="2"/>
  <c r="N93" i="2"/>
  <c r="S93" i="2"/>
  <c r="Q93" i="2"/>
  <c r="T93" i="2"/>
  <c r="U93" i="2"/>
  <c r="R92" i="2"/>
  <c r="V92" i="2"/>
  <c r="P93" i="2"/>
  <c r="R93" i="2"/>
  <c r="V93" i="2"/>
  <c r="W93" i="2"/>
  <c r="N94" i="2"/>
  <c r="Q94" i="2"/>
  <c r="P94" i="2"/>
  <c r="W94" i="2"/>
  <c r="S94" i="2"/>
  <c r="T94" i="2"/>
  <c r="U94" i="2"/>
  <c r="R94" i="2"/>
  <c r="V94" i="2"/>
  <c r="N95" i="2"/>
  <c r="P95" i="2"/>
  <c r="S95" i="2"/>
  <c r="T95" i="2"/>
  <c r="U95" i="2"/>
  <c r="Q95" i="2"/>
  <c r="W95" i="2"/>
  <c r="N96" i="2"/>
  <c r="S96" i="2"/>
  <c r="P96" i="2"/>
  <c r="R95" i="2"/>
  <c r="V95" i="2"/>
  <c r="T96" i="2"/>
  <c r="U96" i="2"/>
  <c r="Q96" i="2"/>
  <c r="W96" i="2"/>
  <c r="N97" i="2"/>
  <c r="Q97" i="2"/>
  <c r="R96" i="2"/>
  <c r="V96" i="2"/>
  <c r="S97" i="2"/>
  <c r="P97" i="2"/>
  <c r="W97" i="2"/>
  <c r="T97" i="2"/>
  <c r="U97" i="2"/>
  <c r="N98" i="2"/>
  <c r="S98" i="2"/>
  <c r="R97" i="2"/>
  <c r="V97" i="2"/>
  <c r="Q98" i="2"/>
  <c r="P98" i="2"/>
  <c r="T98" i="2"/>
  <c r="U98" i="2"/>
  <c r="W98" i="2"/>
  <c r="R98" i="2"/>
  <c r="V98" i="2"/>
  <c r="N99" i="2"/>
  <c r="T99" i="2"/>
  <c r="U99" i="2"/>
  <c r="P99" i="2"/>
  <c r="Q99" i="2"/>
  <c r="W99" i="2"/>
  <c r="S99" i="2"/>
  <c r="N100" i="2"/>
  <c r="S100" i="2"/>
  <c r="R99" i="2"/>
  <c r="V99" i="2"/>
  <c r="T100" i="2"/>
  <c r="U100" i="2"/>
  <c r="P100" i="2"/>
  <c r="Q100" i="2"/>
  <c r="W100" i="2"/>
  <c r="R100" i="2"/>
  <c r="V100" i="2"/>
  <c r="N101" i="2"/>
  <c r="S101" i="2"/>
  <c r="Q101" i="2"/>
  <c r="T101" i="2"/>
  <c r="U101" i="2"/>
  <c r="P101" i="2"/>
  <c r="W101" i="2"/>
  <c r="R101" i="2"/>
  <c r="V101" i="2"/>
  <c r="N102" i="2"/>
  <c r="S102" i="2"/>
  <c r="P102" i="2"/>
  <c r="T102" i="2"/>
  <c r="U102" i="2"/>
  <c r="Q102" i="2"/>
  <c r="W102" i="2"/>
  <c r="R102" i="2"/>
  <c r="V102" i="2"/>
  <c r="N103" i="2"/>
  <c r="S103" i="2"/>
  <c r="T103" i="2"/>
  <c r="U103" i="2"/>
  <c r="Q103" i="2"/>
  <c r="P103" i="2"/>
  <c r="W103" i="2"/>
  <c r="N104" i="2"/>
  <c r="Q104" i="2"/>
  <c r="P104" i="2"/>
  <c r="R104" i="2"/>
  <c r="T104" i="2"/>
  <c r="U104" i="2"/>
  <c r="R103" i="2"/>
  <c r="V103" i="2"/>
  <c r="S104" i="2"/>
  <c r="W104" i="2"/>
  <c r="N105" i="2"/>
  <c r="V104" i="2"/>
  <c r="P105" i="2"/>
  <c r="Q105" i="2"/>
  <c r="W105" i="2"/>
  <c r="T105" i="2"/>
  <c r="U105" i="2"/>
  <c r="S105" i="2"/>
  <c r="R105" i="2"/>
  <c r="V105" i="2"/>
  <c r="N106" i="2"/>
  <c r="S106" i="2"/>
  <c r="P106" i="2"/>
  <c r="Q106" i="2"/>
  <c r="W106" i="2"/>
  <c r="T106" i="2"/>
  <c r="U106" i="2"/>
  <c r="R106" i="2"/>
  <c r="V106" i="2"/>
  <c r="N107" i="2"/>
  <c r="T107" i="2"/>
  <c r="U107" i="2"/>
  <c r="P107" i="2"/>
  <c r="Q107" i="2"/>
  <c r="S107" i="2"/>
  <c r="R107" i="2"/>
  <c r="V107" i="2"/>
  <c r="W107" i="2"/>
  <c r="N108" i="2"/>
  <c r="S108" i="2"/>
  <c r="P108" i="2"/>
  <c r="T108" i="2"/>
  <c r="U108" i="2"/>
  <c r="Q108" i="2"/>
  <c r="W108" i="2"/>
  <c r="N109" i="2"/>
  <c r="T109" i="2"/>
  <c r="U109" i="2"/>
  <c r="S109" i="2"/>
  <c r="P109" i="2"/>
  <c r="R108" i="2"/>
  <c r="V108" i="2"/>
  <c r="Q109" i="2"/>
  <c r="W109" i="2"/>
  <c r="N110" i="2"/>
  <c r="T110" i="2"/>
  <c r="U110" i="2"/>
  <c r="Q110" i="2"/>
  <c r="P110" i="2"/>
  <c r="W110" i="2"/>
  <c r="R109" i="2"/>
  <c r="V109" i="2"/>
  <c r="R110" i="2"/>
  <c r="N111" i="2"/>
  <c r="Q111" i="2"/>
  <c r="S111" i="2"/>
  <c r="P111" i="2"/>
  <c r="R111" i="2"/>
  <c r="S110" i="2"/>
  <c r="T111" i="2"/>
  <c r="U111" i="2"/>
  <c r="W111" i="2"/>
  <c r="V110" i="2"/>
  <c r="V111" i="2"/>
  <c r="N112" i="2"/>
  <c r="P112" i="2"/>
  <c r="Q112" i="2"/>
  <c r="W112" i="2"/>
  <c r="S112" i="2"/>
  <c r="T112" i="2"/>
  <c r="U112" i="2"/>
  <c r="N113" i="2"/>
  <c r="Q113" i="2"/>
  <c r="T113" i="2"/>
  <c r="U113" i="2"/>
  <c r="P113" i="2"/>
  <c r="R113" i="2"/>
  <c r="S113" i="2"/>
  <c r="R112" i="2"/>
  <c r="V112" i="2"/>
  <c r="V113" i="2"/>
  <c r="W113" i="2"/>
  <c r="N114" i="2"/>
  <c r="S114" i="2"/>
  <c r="P114" i="2"/>
  <c r="T114" i="2"/>
  <c r="U114" i="2"/>
  <c r="Q114" i="2"/>
  <c r="W114" i="2"/>
  <c r="R114" i="2"/>
  <c r="V114" i="2"/>
  <c r="N115" i="2"/>
  <c r="P115" i="2"/>
  <c r="Q115" i="2"/>
  <c r="W115" i="2"/>
  <c r="S115" i="2"/>
  <c r="N116" i="2"/>
  <c r="T116" i="2"/>
  <c r="U116" i="2"/>
  <c r="R115" i="2"/>
  <c r="T115" i="2"/>
  <c r="U115" i="2"/>
  <c r="Q116" i="2"/>
  <c r="V115" i="2"/>
  <c r="S116" i="2"/>
  <c r="P116" i="2"/>
  <c r="W116" i="2"/>
  <c r="R116" i="2"/>
  <c r="V116" i="2"/>
  <c r="N117" i="2"/>
  <c r="S117" i="2"/>
  <c r="P117" i="2"/>
  <c r="T117" i="2"/>
  <c r="U117" i="2"/>
  <c r="Q117" i="2"/>
  <c r="W117" i="2"/>
  <c r="N118" i="2"/>
  <c r="S118" i="2"/>
  <c r="R117" i="2"/>
  <c r="V117" i="2"/>
  <c r="Q118" i="2"/>
  <c r="P118" i="2"/>
  <c r="T118" i="2"/>
  <c r="U118" i="2"/>
  <c r="R118" i="2"/>
  <c r="V118" i="2"/>
  <c r="W118" i="2"/>
  <c r="N119" i="2"/>
  <c r="P119" i="2"/>
  <c r="S119" i="2"/>
  <c r="T119" i="2"/>
  <c r="U119" i="2"/>
  <c r="Q119" i="2"/>
  <c r="W119" i="2"/>
  <c r="N120" i="2"/>
  <c r="T120" i="2"/>
  <c r="U120" i="2"/>
  <c r="R119" i="2"/>
  <c r="V119" i="2"/>
  <c r="P120" i="2"/>
  <c r="Q120" i="2"/>
  <c r="S120" i="2"/>
  <c r="R120" i="2"/>
  <c r="V120" i="2"/>
  <c r="W120" i="2"/>
  <c r="N121" i="2"/>
  <c r="Q121" i="2"/>
  <c r="P121" i="2"/>
  <c r="R121" i="2"/>
  <c r="S121" i="2"/>
  <c r="W121" i="2"/>
  <c r="T121" i="2"/>
  <c r="U121" i="2"/>
  <c r="V121" i="2"/>
  <c r="N122" i="2"/>
  <c r="T122" i="2"/>
  <c r="U122" i="2"/>
  <c r="Q122" i="2"/>
  <c r="P122" i="2"/>
  <c r="R122" i="2"/>
  <c r="S122" i="2"/>
  <c r="V122" i="2"/>
  <c r="W122" i="2"/>
  <c r="N123" i="2"/>
  <c r="T123" i="2"/>
  <c r="U123" i="2"/>
  <c r="Q123" i="2"/>
  <c r="S123" i="2"/>
  <c r="P123" i="2"/>
  <c r="W123" i="2"/>
  <c r="R123" i="2"/>
  <c r="V123" i="2"/>
  <c r="N124" i="2"/>
  <c r="S124" i="2"/>
  <c r="Q124" i="2"/>
  <c r="P124" i="2"/>
  <c r="R124" i="2"/>
  <c r="T124" i="2"/>
  <c r="U124" i="2"/>
  <c r="V124" i="2"/>
  <c r="W124" i="2"/>
  <c r="N125" i="2"/>
  <c r="Q125" i="2"/>
  <c r="P125" i="2"/>
  <c r="W125" i="2"/>
  <c r="T125" i="2"/>
  <c r="U125" i="2"/>
  <c r="S125" i="2"/>
  <c r="N126" i="2"/>
  <c r="Q126" i="2"/>
  <c r="R125" i="2"/>
  <c r="V125" i="2"/>
  <c r="S126" i="2"/>
  <c r="P126" i="2"/>
  <c r="R126" i="2"/>
  <c r="T126" i="2"/>
  <c r="U126" i="2"/>
  <c r="V126" i="2"/>
  <c r="W126" i="2"/>
  <c r="N127" i="2"/>
  <c r="S127" i="2"/>
  <c r="P127" i="2"/>
  <c r="T127" i="2"/>
  <c r="U127" i="2"/>
  <c r="Q127" i="2"/>
  <c r="W127" i="2"/>
  <c r="R127" i="2"/>
  <c r="V127" i="2"/>
  <c r="N128" i="2"/>
  <c r="Q128" i="2"/>
  <c r="S128" i="2"/>
  <c r="P128" i="2"/>
  <c r="R128" i="2"/>
  <c r="T128" i="2"/>
  <c r="U128" i="2"/>
  <c r="W128" i="2"/>
  <c r="V128" i="2"/>
  <c r="N129" i="2"/>
  <c r="S129" i="2"/>
  <c r="P129" i="2"/>
  <c r="Q129" i="2"/>
  <c r="T129" i="2"/>
  <c r="U129" i="2"/>
  <c r="W129" i="2"/>
  <c r="N130" i="2"/>
  <c r="Q130" i="2"/>
  <c r="R129" i="2"/>
  <c r="V129" i="2"/>
  <c r="T130" i="2"/>
  <c r="U130" i="2"/>
  <c r="P130" i="2"/>
  <c r="R130" i="2"/>
  <c r="S130" i="2"/>
  <c r="V130" i="2"/>
  <c r="W130" i="2"/>
  <c r="N131" i="2"/>
  <c r="P131" i="2"/>
  <c r="Q131" i="2"/>
  <c r="W131" i="2"/>
  <c r="T131" i="2"/>
  <c r="U131" i="2"/>
  <c r="S131" i="2"/>
  <c r="N132" i="2"/>
  <c r="P132" i="2"/>
  <c r="R131" i="2"/>
  <c r="V131" i="2"/>
  <c r="Q132" i="2"/>
  <c r="W132" i="2"/>
  <c r="T132" i="2"/>
  <c r="U132" i="2"/>
  <c r="S132" i="2"/>
  <c r="R132" i="2"/>
  <c r="N133" i="2"/>
  <c r="S133" i="2"/>
  <c r="V132" i="2"/>
  <c r="T133" i="2"/>
  <c r="U133" i="2"/>
  <c r="Q133" i="2"/>
  <c r="P133" i="2"/>
  <c r="R133" i="2"/>
  <c r="V133" i="2"/>
  <c r="W133" i="2"/>
  <c r="N134" i="2"/>
  <c r="Q134" i="2"/>
  <c r="S134" i="2"/>
  <c r="T134" i="2"/>
  <c r="U134" i="2"/>
  <c r="P134" i="2"/>
  <c r="W134" i="2"/>
  <c r="N135" i="2"/>
  <c r="P135" i="2"/>
  <c r="R134" i="2"/>
  <c r="V134" i="2"/>
  <c r="T135" i="2"/>
  <c r="U135" i="2"/>
  <c r="Q135" i="2"/>
  <c r="R135" i="2"/>
  <c r="S135" i="2"/>
  <c r="W135" i="2"/>
  <c r="N136" i="2"/>
  <c r="Q136" i="2"/>
  <c r="V135" i="2"/>
  <c r="P136" i="2"/>
  <c r="R136" i="2"/>
  <c r="S136" i="2"/>
  <c r="T136" i="2"/>
  <c r="U136" i="2"/>
  <c r="W136" i="2"/>
  <c r="V136" i="2"/>
  <c r="N137" i="2"/>
  <c r="P137" i="2"/>
  <c r="Q137" i="2"/>
  <c r="W137" i="2"/>
  <c r="S137" i="2"/>
  <c r="T137" i="2"/>
  <c r="U137" i="2"/>
  <c r="N138" i="2"/>
  <c r="S138" i="2"/>
  <c r="P138" i="2"/>
  <c r="Q138" i="2"/>
  <c r="W138" i="2"/>
  <c r="N139" i="2"/>
  <c r="R137" i="2"/>
  <c r="V137" i="2"/>
  <c r="R138" i="2"/>
  <c r="T138" i="2"/>
  <c r="U138" i="2"/>
  <c r="V138" i="2"/>
  <c r="Q139" i="2"/>
  <c r="T139" i="2"/>
  <c r="U139" i="2"/>
  <c r="S139" i="2"/>
  <c r="P139" i="2"/>
  <c r="R139" i="2"/>
  <c r="V139" i="2"/>
  <c r="W139" i="2"/>
  <c r="N140" i="2"/>
  <c r="P140" i="2"/>
  <c r="T140" i="2"/>
  <c r="U140" i="2"/>
  <c r="Q140" i="2"/>
  <c r="W140" i="2"/>
  <c r="S140" i="2"/>
  <c r="N141" i="2"/>
  <c r="Q141" i="2"/>
  <c r="R140" i="2"/>
  <c r="V140" i="2"/>
  <c r="P141" i="2"/>
  <c r="T141" i="2"/>
  <c r="U141" i="2"/>
  <c r="S141" i="2"/>
  <c r="W141" i="2"/>
  <c r="R141" i="2"/>
  <c r="V141" i="2"/>
  <c r="N142" i="2"/>
  <c r="P142" i="2"/>
  <c r="Q142" i="2"/>
  <c r="W142" i="2"/>
  <c r="T142" i="2"/>
  <c r="U142" i="2"/>
  <c r="S142" i="2"/>
  <c r="N143" i="2"/>
  <c r="P143" i="2"/>
  <c r="Q143" i="2"/>
  <c r="W143" i="2"/>
  <c r="S143" i="2"/>
  <c r="T143" i="2"/>
  <c r="U143" i="2"/>
  <c r="R142" i="2"/>
  <c r="V142" i="2"/>
  <c r="R143" i="2"/>
  <c r="V143" i="2"/>
  <c r="N144" i="2"/>
  <c r="T144" i="2"/>
  <c r="U144" i="2"/>
  <c r="S144" i="2"/>
  <c r="P144" i="2"/>
  <c r="Q144" i="2"/>
  <c r="W144" i="2"/>
  <c r="N145" i="2"/>
  <c r="Q145" i="2"/>
  <c r="R144" i="2"/>
  <c r="V144" i="2"/>
  <c r="T145" i="2"/>
  <c r="U145" i="2"/>
  <c r="P145" i="2"/>
  <c r="R145" i="2"/>
  <c r="S145" i="2"/>
  <c r="V145" i="2"/>
  <c r="W145" i="2"/>
  <c r="N146" i="2"/>
  <c r="T146" i="2"/>
  <c r="U146" i="2"/>
  <c r="S146" i="2"/>
  <c r="P146" i="2"/>
  <c r="Q146" i="2"/>
  <c r="W146" i="2"/>
  <c r="N147" i="2"/>
  <c r="T147" i="2"/>
  <c r="U147" i="2"/>
  <c r="R146" i="2"/>
  <c r="V146" i="2"/>
  <c r="P147" i="2"/>
  <c r="Q147" i="2"/>
  <c r="S147" i="2"/>
  <c r="R147" i="2"/>
  <c r="V147" i="2"/>
  <c r="W147" i="2"/>
  <c r="N148" i="2"/>
  <c r="Q148" i="2"/>
  <c r="S148" i="2"/>
  <c r="T148" i="2"/>
  <c r="U148" i="2"/>
  <c r="P148" i="2"/>
  <c r="R148" i="2"/>
  <c r="V148" i="2"/>
  <c r="W148" i="2"/>
  <c r="N149" i="2"/>
  <c r="P149" i="2"/>
  <c r="T149" i="2"/>
  <c r="U149" i="2"/>
  <c r="Q149" i="2"/>
  <c r="W149" i="2"/>
  <c r="S149" i="2"/>
  <c r="R149" i="2"/>
  <c r="V149" i="2"/>
  <c r="N150" i="2"/>
  <c r="Q150" i="2"/>
  <c r="S150" i="2"/>
  <c r="T150" i="2"/>
  <c r="U150" i="2"/>
  <c r="P150" i="2"/>
  <c r="R150" i="2"/>
  <c r="V150" i="2"/>
  <c r="W150" i="2"/>
  <c r="N151" i="2"/>
  <c r="P151" i="2"/>
  <c r="Q151" i="2"/>
  <c r="T151" i="2"/>
  <c r="U151" i="2"/>
  <c r="S151" i="2"/>
  <c r="R151" i="2"/>
  <c r="V151" i="2"/>
  <c r="W151" i="2"/>
  <c r="N152" i="2"/>
  <c r="S152" i="2"/>
  <c r="Q152" i="2"/>
  <c r="T152" i="2"/>
  <c r="U152" i="2"/>
  <c r="P152" i="2"/>
  <c r="R152" i="2"/>
  <c r="V152" i="2"/>
  <c r="W152" i="2"/>
  <c r="N153" i="2"/>
  <c r="P153" i="2"/>
  <c r="T153" i="2"/>
  <c r="U153" i="2"/>
  <c r="Q153" i="2"/>
  <c r="W153" i="2"/>
  <c r="S153" i="2"/>
  <c r="N154" i="2"/>
  <c r="S154" i="2"/>
  <c r="P154" i="2"/>
  <c r="T154" i="2"/>
  <c r="U154" i="2"/>
  <c r="Q154" i="2"/>
  <c r="W154" i="2"/>
  <c r="R153" i="2"/>
  <c r="V153" i="2"/>
  <c r="R154" i="2"/>
  <c r="V154" i="2"/>
  <c r="N155" i="2"/>
  <c r="P155" i="2"/>
  <c r="S155" i="2"/>
  <c r="T155" i="2"/>
  <c r="U155" i="2"/>
  <c r="Q155" i="2"/>
  <c r="W155" i="2"/>
  <c r="N156" i="2"/>
  <c r="S156" i="2"/>
  <c r="P156" i="2"/>
  <c r="R155" i="2"/>
  <c r="V155" i="2"/>
  <c r="Q156" i="2"/>
  <c r="R156" i="2"/>
  <c r="T156" i="2"/>
  <c r="U156" i="2"/>
  <c r="V156" i="2"/>
  <c r="W156" i="2"/>
  <c r="N157" i="2"/>
  <c r="P157" i="2"/>
  <c r="Q157" i="2"/>
  <c r="R157" i="2"/>
  <c r="S157" i="2"/>
  <c r="T157" i="2"/>
  <c r="U157" i="2"/>
  <c r="V157" i="2"/>
  <c r="W157" i="2"/>
  <c r="N158" i="2"/>
  <c r="Q158" i="2"/>
  <c r="T158" i="2"/>
  <c r="U158" i="2"/>
  <c r="P158" i="2"/>
  <c r="R158" i="2"/>
  <c r="S158" i="2"/>
  <c r="V158" i="2"/>
  <c r="W158" i="2"/>
  <c r="N159" i="2"/>
  <c r="T159" i="2"/>
  <c r="U159" i="2"/>
  <c r="S159" i="2"/>
  <c r="P159" i="2"/>
  <c r="Q159" i="2"/>
  <c r="R159" i="2"/>
  <c r="V159" i="2"/>
  <c r="W159" i="2"/>
  <c r="N160" i="2"/>
  <c r="S160" i="2"/>
  <c r="P160" i="2"/>
  <c r="Q160" i="2"/>
  <c r="R160" i="2"/>
  <c r="T160" i="2"/>
  <c r="U160" i="2"/>
  <c r="V160" i="2"/>
  <c r="W160" i="2"/>
  <c r="N161" i="2"/>
  <c r="S161" i="2"/>
  <c r="P161" i="2"/>
  <c r="Q161" i="2"/>
  <c r="R161" i="2"/>
  <c r="W161" i="2"/>
  <c r="N162" i="2"/>
  <c r="T162" i="2"/>
  <c r="U162" i="2"/>
  <c r="S162" i="2"/>
  <c r="T161" i="2"/>
  <c r="U161" i="2"/>
  <c r="V161" i="2"/>
  <c r="P162" i="2"/>
  <c r="Q162" i="2"/>
  <c r="R162" i="2"/>
  <c r="V162" i="2"/>
  <c r="W162" i="2"/>
  <c r="N163" i="2"/>
  <c r="T163" i="2"/>
  <c r="U163" i="2"/>
  <c r="Q163" i="2"/>
  <c r="P163" i="2"/>
  <c r="W163" i="2"/>
  <c r="R163" i="2"/>
  <c r="S163" i="2"/>
  <c r="V163" i="2"/>
  <c r="N164" i="2"/>
  <c r="Q164" i="2"/>
  <c r="S164" i="2"/>
  <c r="T164" i="2"/>
  <c r="U164" i="2"/>
  <c r="P164" i="2"/>
  <c r="R164" i="2"/>
  <c r="V164" i="2"/>
  <c r="W164" i="2"/>
  <c r="N165" i="2"/>
  <c r="Q165" i="2"/>
  <c r="S165" i="2"/>
  <c r="T165" i="2"/>
  <c r="U165" i="2"/>
  <c r="P165" i="2"/>
  <c r="R165" i="2"/>
  <c r="V165" i="2"/>
  <c r="W165" i="2"/>
  <c r="N166" i="2"/>
  <c r="S166" i="2"/>
  <c r="P166" i="2"/>
  <c r="T166" i="2"/>
  <c r="U166" i="2"/>
  <c r="Q166" i="2"/>
  <c r="W166" i="2"/>
  <c r="N167" i="2"/>
  <c r="Q167" i="2"/>
  <c r="P167" i="2"/>
  <c r="R167" i="2"/>
  <c r="W167" i="2"/>
  <c r="T167" i="2"/>
  <c r="U167" i="2"/>
  <c r="S167" i="2"/>
  <c r="V167" i="2"/>
  <c r="R166" i="2"/>
  <c r="V166" i="2"/>
  <c r="N168" i="2"/>
  <c r="S168" i="2"/>
  <c r="Q168" i="2"/>
  <c r="T168" i="2"/>
  <c r="U168" i="2"/>
  <c r="P168" i="2"/>
  <c r="R168" i="2"/>
  <c r="V168" i="2"/>
  <c r="W168" i="2"/>
  <c r="N169" i="2"/>
  <c r="P169" i="2"/>
  <c r="T169" i="2"/>
  <c r="U169" i="2"/>
  <c r="S169" i="2"/>
  <c r="Q169" i="2"/>
  <c r="R169" i="2"/>
  <c r="V169" i="2"/>
  <c r="W169" i="2"/>
  <c r="N170" i="2"/>
  <c r="P170" i="2"/>
  <c r="S170" i="2"/>
  <c r="Q170" i="2"/>
  <c r="W170" i="2"/>
  <c r="T170" i="2"/>
  <c r="U170" i="2"/>
  <c r="N171" i="2"/>
  <c r="Q171" i="2"/>
  <c r="T171" i="2"/>
  <c r="U171" i="2"/>
  <c r="P171" i="2"/>
  <c r="W171" i="2"/>
  <c r="S171" i="2"/>
  <c r="R170" i="2"/>
  <c r="V170" i="2"/>
  <c r="N172" i="2"/>
  <c r="S172" i="2"/>
  <c r="T172" i="2"/>
  <c r="U172" i="2"/>
  <c r="P172" i="2"/>
  <c r="R171" i="2"/>
  <c r="V171" i="2"/>
  <c r="Q172" i="2"/>
  <c r="W172" i="2"/>
  <c r="N173" i="2"/>
  <c r="T173" i="2"/>
  <c r="U173" i="2"/>
  <c r="P173" i="2"/>
  <c r="R172" i="2"/>
  <c r="V172" i="2"/>
  <c r="Q173" i="2"/>
  <c r="W173" i="2"/>
  <c r="S173" i="2"/>
  <c r="N174" i="2"/>
  <c r="Q174" i="2"/>
  <c r="P174" i="2"/>
  <c r="W174" i="2"/>
  <c r="R174" i="2"/>
  <c r="R173" i="2"/>
  <c r="V173" i="2"/>
  <c r="N175" i="2"/>
  <c r="T175" i="2"/>
  <c r="U175" i="2"/>
  <c r="Q175" i="2"/>
  <c r="P175" i="2"/>
  <c r="W175" i="2"/>
  <c r="S175" i="2"/>
  <c r="T174" i="2"/>
  <c r="U174" i="2"/>
  <c r="S174" i="2"/>
  <c r="V174" i="2"/>
  <c r="N176" i="2"/>
  <c r="T176" i="2"/>
  <c r="U176" i="2"/>
  <c r="S176" i="2"/>
  <c r="Q176" i="2"/>
  <c r="P176" i="2"/>
  <c r="W176" i="2"/>
  <c r="R176" i="2"/>
  <c r="V176" i="2"/>
  <c r="R175" i="2"/>
  <c r="V175" i="2"/>
  <c r="N177" i="2"/>
  <c r="P177" i="2"/>
  <c r="T177" i="2"/>
  <c r="U177" i="2"/>
  <c r="Q177" i="2"/>
  <c r="W177" i="2"/>
  <c r="S177" i="2"/>
  <c r="N178" i="2"/>
  <c r="S178" i="2"/>
  <c r="Q178" i="2"/>
  <c r="P178" i="2"/>
  <c r="W178" i="2"/>
  <c r="R178" i="2"/>
  <c r="T178" i="2"/>
  <c r="U178" i="2"/>
  <c r="V178" i="2"/>
  <c r="R177" i="2"/>
  <c r="V177" i="2"/>
  <c r="N179" i="2"/>
  <c r="S179" i="2"/>
  <c r="P179" i="2"/>
  <c r="T179" i="2"/>
  <c r="U179" i="2"/>
  <c r="Q179" i="2"/>
  <c r="R179" i="2"/>
  <c r="V179" i="2"/>
  <c r="W179" i="2"/>
  <c r="N180" i="2"/>
  <c r="Q180" i="2"/>
  <c r="T180" i="2"/>
  <c r="U180" i="2"/>
  <c r="S180" i="2"/>
  <c r="P180" i="2"/>
  <c r="R180" i="2"/>
  <c r="V180" i="2"/>
  <c r="W180" i="2"/>
  <c r="N181" i="2"/>
  <c r="T181" i="2"/>
  <c r="U181" i="2"/>
  <c r="S181" i="2"/>
  <c r="Q181" i="2"/>
  <c r="P181" i="2"/>
  <c r="W181" i="2"/>
  <c r="N182" i="2"/>
  <c r="Q182" i="2"/>
  <c r="R181" i="2"/>
  <c r="V181" i="2"/>
  <c r="T182" i="2"/>
  <c r="U182" i="2"/>
  <c r="S182" i="2"/>
  <c r="P182" i="2"/>
  <c r="W182" i="2"/>
  <c r="N183" i="2"/>
  <c r="Q183" i="2"/>
  <c r="P183" i="2"/>
  <c r="W183" i="2"/>
  <c r="T183" i="2"/>
  <c r="U183" i="2"/>
  <c r="R183" i="2"/>
  <c r="R182" i="2"/>
  <c r="V182" i="2"/>
  <c r="N184" i="2"/>
  <c r="S184" i="2"/>
  <c r="Q184" i="2"/>
  <c r="P184" i="2"/>
  <c r="W184" i="2"/>
  <c r="T184" i="2"/>
  <c r="U184" i="2"/>
  <c r="R184" i="2"/>
  <c r="V184" i="2"/>
  <c r="S183" i="2"/>
  <c r="V183" i="2"/>
  <c r="N185" i="2"/>
  <c r="P185" i="2"/>
  <c r="Q185" i="2"/>
  <c r="W185" i="2"/>
  <c r="N186" i="2"/>
  <c r="Q186" i="2"/>
  <c r="R185" i="2"/>
  <c r="S185" i="2"/>
  <c r="T185" i="2"/>
  <c r="U185" i="2"/>
  <c r="P186" i="2"/>
  <c r="R186" i="2"/>
  <c r="S186" i="2"/>
  <c r="V185" i="2"/>
  <c r="T186" i="2"/>
  <c r="U186" i="2"/>
  <c r="V186" i="2"/>
  <c r="W186" i="2"/>
  <c r="N187" i="2"/>
  <c r="S187" i="2"/>
  <c r="T187" i="2"/>
  <c r="U187" i="2"/>
  <c r="P187" i="2"/>
  <c r="Q187" i="2"/>
  <c r="W187" i="2"/>
  <c r="N188" i="2"/>
  <c r="P188" i="2"/>
  <c r="S188" i="2"/>
  <c r="T188" i="2"/>
  <c r="U188" i="2"/>
  <c r="R187" i="2"/>
  <c r="V187" i="2"/>
  <c r="Q188" i="2"/>
  <c r="W188" i="2"/>
  <c r="N189" i="2"/>
  <c r="P189" i="2"/>
  <c r="Q189" i="2"/>
  <c r="W189" i="2"/>
  <c r="T189" i="2"/>
  <c r="U189" i="2"/>
  <c r="S189" i="2"/>
  <c r="R189" i="2"/>
  <c r="V189" i="2"/>
  <c r="R188" i="2"/>
  <c r="V188" i="2"/>
  <c r="N190" i="2"/>
  <c r="Q190" i="2"/>
  <c r="P190" i="2"/>
  <c r="W190" i="2"/>
  <c r="R190" i="2"/>
  <c r="N191" i="2"/>
  <c r="S191" i="2"/>
  <c r="T191" i="2"/>
  <c r="U191" i="2"/>
  <c r="Q191" i="2"/>
  <c r="P191" i="2"/>
  <c r="W191" i="2"/>
  <c r="R191" i="2"/>
  <c r="V191" i="2"/>
  <c r="S190" i="2"/>
  <c r="T190" i="2"/>
  <c r="U190" i="2"/>
  <c r="V190" i="2"/>
  <c r="N192" i="2"/>
  <c r="S192" i="2"/>
  <c r="T192" i="2"/>
  <c r="U192" i="2"/>
  <c r="P192" i="2"/>
  <c r="Q192" i="2"/>
  <c r="W192" i="2"/>
  <c r="N193" i="2"/>
  <c r="P193" i="2"/>
  <c r="Q193" i="2"/>
  <c r="W193" i="2"/>
  <c r="S193" i="2"/>
  <c r="T193" i="2"/>
  <c r="U193" i="2"/>
  <c r="R192" i="2"/>
  <c r="V192" i="2"/>
  <c r="N194" i="2"/>
  <c r="P194" i="2"/>
  <c r="Q194" i="2"/>
  <c r="W194" i="2"/>
  <c r="S194" i="2"/>
  <c r="R193" i="2"/>
  <c r="V193" i="2"/>
  <c r="R194" i="2"/>
  <c r="N195" i="2"/>
  <c r="S195" i="2"/>
  <c r="T194" i="2"/>
  <c r="U194" i="2"/>
  <c r="T195" i="2"/>
  <c r="U195" i="2"/>
  <c r="Q195" i="2"/>
  <c r="P195" i="2"/>
  <c r="W195" i="2"/>
  <c r="R195" i="2"/>
  <c r="V195" i="2"/>
  <c r="V194" i="2"/>
  <c r="N196" i="2"/>
  <c r="Q196" i="2"/>
  <c r="P196" i="2"/>
  <c r="W196" i="2"/>
  <c r="S196" i="2"/>
  <c r="R196" i="2"/>
  <c r="N197" i="2"/>
  <c r="T197" i="2"/>
  <c r="U197" i="2"/>
  <c r="S197" i="2"/>
  <c r="P197" i="2"/>
  <c r="Q197" i="2"/>
  <c r="R197" i="2"/>
  <c r="V197" i="2"/>
  <c r="W197" i="2"/>
  <c r="T196" i="2"/>
  <c r="U196" i="2"/>
  <c r="V196" i="2"/>
  <c r="N198" i="2"/>
  <c r="S198" i="2"/>
  <c r="P198" i="2"/>
  <c r="T198" i="2"/>
  <c r="U198" i="2"/>
  <c r="Q198" i="2"/>
  <c r="W198" i="2"/>
  <c r="N199" i="2"/>
  <c r="Q199" i="2"/>
  <c r="S199" i="2"/>
  <c r="P199" i="2"/>
  <c r="W199" i="2"/>
  <c r="T199" i="2"/>
  <c r="U199" i="2"/>
  <c r="R198" i="2"/>
  <c r="V198" i="2"/>
  <c r="N200" i="2"/>
  <c r="T200" i="2"/>
  <c r="U200" i="2"/>
  <c r="S200" i="2"/>
  <c r="R199" i="2"/>
  <c r="V199" i="2"/>
  <c r="P200" i="2"/>
  <c r="Q200" i="2"/>
  <c r="W200" i="2"/>
  <c r="R200" i="2"/>
  <c r="V200" i="2"/>
  <c r="N201" i="2"/>
  <c r="S201" i="2"/>
  <c r="P201" i="2"/>
  <c r="Q201" i="2"/>
  <c r="R201" i="2"/>
  <c r="T201" i="2"/>
  <c r="U201" i="2"/>
  <c r="V201" i="2"/>
  <c r="W201" i="2"/>
  <c r="N202" i="2"/>
  <c r="T202" i="2"/>
  <c r="U202" i="2"/>
  <c r="P202" i="2"/>
  <c r="Q202" i="2"/>
  <c r="W202" i="2"/>
  <c r="S202" i="2"/>
  <c r="R202" i="2"/>
  <c r="V202" i="2"/>
  <c r="N203" i="2"/>
  <c r="T203" i="2"/>
  <c r="U203" i="2"/>
  <c r="P203" i="2"/>
  <c r="Q203" i="2"/>
  <c r="W203" i="2"/>
  <c r="N204" i="2"/>
  <c r="P204" i="2"/>
  <c r="Q204" i="2"/>
  <c r="W204" i="2"/>
  <c r="T204" i="2"/>
  <c r="U204" i="2"/>
  <c r="S204" i="2"/>
  <c r="R204" i="2"/>
  <c r="V204" i="2"/>
  <c r="R203" i="2"/>
  <c r="S203" i="2"/>
  <c r="V203" i="2"/>
  <c r="N205" i="2"/>
  <c r="S205" i="2"/>
  <c r="T205" i="2"/>
  <c r="U205" i="2"/>
  <c r="P205" i="2"/>
  <c r="Q205" i="2"/>
  <c r="R205" i="2"/>
  <c r="V205" i="2"/>
  <c r="W205" i="2"/>
  <c r="N206" i="2"/>
  <c r="T206" i="2"/>
  <c r="U206" i="2"/>
  <c r="Q206" i="2"/>
  <c r="P206" i="2"/>
  <c r="W206" i="2"/>
  <c r="S206" i="2"/>
  <c r="R206" i="2"/>
  <c r="V206" i="2"/>
  <c r="N207" i="2"/>
  <c r="S207" i="2"/>
  <c r="Q207" i="2"/>
  <c r="P207" i="2"/>
  <c r="W207" i="2"/>
  <c r="R207" i="2"/>
  <c r="T207" i="2"/>
  <c r="U207" i="2"/>
  <c r="V207" i="2"/>
  <c r="N208" i="2"/>
  <c r="Q208" i="2"/>
  <c r="S208" i="2"/>
  <c r="T208" i="2"/>
  <c r="U208" i="2"/>
  <c r="P208" i="2"/>
  <c r="W208" i="2"/>
  <c r="R208" i="2"/>
  <c r="V208" i="2"/>
  <c r="N209" i="2"/>
  <c r="S209" i="2"/>
  <c r="P209" i="2"/>
  <c r="T209" i="2"/>
  <c r="U209" i="2"/>
  <c r="Q209" i="2"/>
  <c r="W209" i="2"/>
  <c r="R209" i="2"/>
  <c r="V209" i="2"/>
  <c r="N210" i="2"/>
  <c r="T210" i="2"/>
  <c r="U210" i="2"/>
  <c r="P210" i="2"/>
  <c r="Q210" i="2"/>
  <c r="W210" i="2"/>
  <c r="S210" i="2"/>
  <c r="R210" i="2"/>
  <c r="V210" i="2"/>
  <c r="N211" i="2"/>
  <c r="Q211" i="2"/>
  <c r="T211" i="2"/>
  <c r="U211" i="2"/>
  <c r="S211" i="2"/>
  <c r="P211" i="2"/>
  <c r="R211" i="2"/>
  <c r="V211" i="2"/>
  <c r="W211" i="2"/>
  <c r="N212" i="2"/>
  <c r="P212" i="2"/>
  <c r="T212" i="2"/>
  <c r="U212" i="2"/>
  <c r="Q212" i="2"/>
  <c r="R212" i="2"/>
  <c r="S212" i="2"/>
  <c r="V212" i="2"/>
  <c r="W212" i="2"/>
  <c r="N213" i="2"/>
  <c r="S213" i="2"/>
  <c r="Q213" i="2"/>
  <c r="T213" i="2"/>
  <c r="U213" i="2"/>
  <c r="P213" i="2"/>
  <c r="W213" i="2"/>
  <c r="N214" i="2"/>
  <c r="P214" i="2"/>
  <c r="T214" i="2"/>
  <c r="U214" i="2"/>
  <c r="S214" i="2"/>
  <c r="Q214" i="2"/>
  <c r="W214" i="2"/>
  <c r="R213" i="2"/>
  <c r="V213" i="2"/>
  <c r="R214" i="2"/>
  <c r="V214" i="2"/>
  <c r="N215" i="2"/>
  <c r="P215" i="2"/>
  <c r="Q215" i="2"/>
  <c r="R215" i="2"/>
  <c r="W215" i="2"/>
  <c r="T215" i="2"/>
  <c r="U215" i="2"/>
  <c r="S215" i="2"/>
  <c r="V215" i="2"/>
  <c r="N216" i="2"/>
  <c r="T216" i="2"/>
  <c r="U216" i="2"/>
  <c r="P216" i="2"/>
  <c r="S216" i="2"/>
  <c r="Q216" i="2"/>
  <c r="W216" i="2"/>
  <c r="N217" i="2"/>
  <c r="S217" i="2"/>
  <c r="Q217" i="2"/>
  <c r="P217" i="2"/>
  <c r="R217" i="2"/>
  <c r="T217" i="2"/>
  <c r="U217" i="2"/>
  <c r="V217" i="2"/>
  <c r="R216" i="2"/>
  <c r="V216" i="2"/>
  <c r="W217" i="2"/>
  <c r="N218" i="2"/>
  <c r="S218" i="2"/>
  <c r="Q218" i="2"/>
  <c r="T218" i="2"/>
  <c r="U218" i="2"/>
  <c r="P218" i="2"/>
  <c r="R218" i="2"/>
  <c r="V218" i="2"/>
  <c r="W218" i="2"/>
  <c r="N219" i="2"/>
  <c r="T219" i="2"/>
  <c r="U219" i="2"/>
  <c r="P219" i="2"/>
  <c r="S219" i="2"/>
  <c r="Q219" i="2"/>
  <c r="W219" i="2"/>
  <c r="I23" i="7"/>
  <c r="I27" i="7"/>
  <c r="I24" i="7"/>
  <c r="I29" i="7"/>
  <c r="I28" i="7"/>
  <c r="I26" i="7"/>
  <c r="I25" i="7"/>
  <c r="I32" i="2"/>
  <c r="N220" i="2"/>
  <c r="P220" i="2"/>
  <c r="S220" i="2"/>
  <c r="R219" i="2"/>
  <c r="V219" i="2"/>
  <c r="T220" i="2"/>
  <c r="U220" i="2"/>
  <c r="Q220" i="2"/>
  <c r="W220" i="2"/>
  <c r="N221" i="2"/>
  <c r="Q221" i="2"/>
  <c r="P221" i="2"/>
  <c r="W221" i="2"/>
  <c r="R220" i="2"/>
  <c r="V220" i="2"/>
  <c r="N222" i="2"/>
  <c r="Q222" i="2"/>
  <c r="S221" i="2"/>
  <c r="P222" i="2"/>
  <c r="R222" i="2"/>
  <c r="T221" i="2"/>
  <c r="U221" i="2"/>
  <c r="S222" i="2"/>
  <c r="T222" i="2"/>
  <c r="U222" i="2"/>
  <c r="R221" i="2"/>
  <c r="V221" i="2"/>
  <c r="V222" i="2"/>
  <c r="W222" i="2"/>
  <c r="N223" i="2"/>
  <c r="S223" i="2"/>
  <c r="T223" i="2"/>
  <c r="U223" i="2"/>
  <c r="P223" i="2"/>
  <c r="Q223" i="2"/>
  <c r="R223" i="2"/>
  <c r="V223" i="2"/>
  <c r="W223" i="2"/>
  <c r="N224" i="2"/>
  <c r="P224" i="2"/>
  <c r="T224" i="2"/>
  <c r="U224" i="2"/>
  <c r="Q224" i="2"/>
  <c r="W224" i="2"/>
  <c r="S224" i="2"/>
  <c r="R224" i="2"/>
  <c r="V224" i="2"/>
  <c r="N225" i="2"/>
  <c r="S225" i="2"/>
  <c r="T225" i="2"/>
  <c r="U225" i="2"/>
  <c r="Q225" i="2"/>
  <c r="P225" i="2"/>
  <c r="W225" i="2"/>
  <c r="R225" i="2"/>
  <c r="V225" i="2"/>
  <c r="N226" i="2"/>
  <c r="T226" i="2"/>
  <c r="U226" i="2"/>
  <c r="Q226" i="2"/>
  <c r="S226" i="2"/>
  <c r="P226" i="2"/>
  <c r="R226" i="2"/>
  <c r="V226" i="2"/>
  <c r="W226" i="2"/>
  <c r="N227" i="2"/>
  <c r="Q227" i="2"/>
  <c r="S227" i="2"/>
  <c r="T227" i="2"/>
  <c r="U227" i="2"/>
  <c r="P227" i="2"/>
  <c r="R227" i="2"/>
  <c r="V227" i="2"/>
  <c r="W227" i="2"/>
  <c r="N228" i="2"/>
  <c r="P228" i="2"/>
  <c r="T228" i="2"/>
  <c r="U228" i="2"/>
  <c r="Q228" i="2"/>
  <c r="R228" i="2"/>
  <c r="S228" i="2"/>
  <c r="V228" i="2"/>
  <c r="W228" i="2"/>
  <c r="N229" i="2"/>
  <c r="T229" i="2"/>
  <c r="U229" i="2"/>
  <c r="S229" i="2"/>
  <c r="P229" i="2"/>
  <c r="Q229" i="2"/>
  <c r="W229" i="2"/>
  <c r="N230" i="2"/>
  <c r="S230" i="2"/>
  <c r="R229" i="2"/>
  <c r="V229" i="2"/>
  <c r="T230" i="2"/>
  <c r="U230" i="2"/>
  <c r="Q230" i="2"/>
  <c r="P230" i="2"/>
  <c r="W230" i="2"/>
  <c r="R230" i="2"/>
  <c r="V230" i="2"/>
  <c r="N231" i="2"/>
  <c r="P231" i="2"/>
  <c r="S231" i="2"/>
  <c r="Q231" i="2"/>
  <c r="W231" i="2"/>
  <c r="T231" i="2"/>
  <c r="U231" i="2"/>
  <c r="N232" i="2"/>
  <c r="Q232" i="2"/>
  <c r="R231" i="2"/>
  <c r="V231" i="2"/>
  <c r="T232" i="2"/>
  <c r="U232" i="2"/>
  <c r="S232" i="2"/>
  <c r="P232" i="2"/>
  <c r="R232" i="2"/>
  <c r="V232" i="2"/>
  <c r="W232" i="2"/>
  <c r="N233" i="2"/>
  <c r="Q233" i="2"/>
  <c r="P233" i="2"/>
  <c r="W233" i="2"/>
  <c r="T233" i="2"/>
  <c r="U233" i="2"/>
  <c r="S233" i="2"/>
  <c r="R233" i="2"/>
  <c r="V233" i="2"/>
  <c r="N234" i="2"/>
  <c r="P234" i="2"/>
  <c r="Q234" i="2"/>
  <c r="W234" i="2"/>
  <c r="T234" i="2"/>
  <c r="U234" i="2"/>
  <c r="S234" i="2"/>
  <c r="N235" i="2"/>
  <c r="Q235" i="2"/>
  <c r="P235" i="2"/>
  <c r="W235" i="2"/>
  <c r="T235" i="2"/>
  <c r="U235" i="2"/>
  <c r="S235" i="2"/>
  <c r="R235" i="2"/>
  <c r="V235" i="2"/>
  <c r="R234" i="2"/>
  <c r="V234" i="2"/>
  <c r="N236" i="2"/>
  <c r="T236" i="2"/>
  <c r="U236" i="2"/>
  <c r="P236" i="2"/>
  <c r="S236" i="2"/>
  <c r="Q236" i="2"/>
  <c r="W236" i="2"/>
  <c r="R236" i="2"/>
  <c r="V236" i="2"/>
  <c r="N237" i="2"/>
  <c r="Q237" i="2"/>
  <c r="S237" i="2"/>
  <c r="P237" i="2"/>
  <c r="W237" i="2"/>
  <c r="T237" i="2"/>
  <c r="U237" i="2"/>
  <c r="R237" i="2"/>
  <c r="V237" i="2"/>
  <c r="N238" i="2"/>
  <c r="S238" i="2"/>
  <c r="T238" i="2"/>
  <c r="U238" i="2"/>
  <c r="P238" i="2"/>
  <c r="Q238" i="2"/>
  <c r="W238" i="2"/>
  <c r="N239" i="2"/>
  <c r="Q239" i="2"/>
  <c r="T239" i="2"/>
  <c r="U239" i="2"/>
  <c r="S239" i="2"/>
  <c r="P239" i="2"/>
  <c r="W239" i="2"/>
  <c r="R238" i="2"/>
  <c r="V238" i="2"/>
  <c r="N240" i="2"/>
  <c r="T240" i="2"/>
  <c r="U240" i="2"/>
  <c r="Q240" i="2"/>
  <c r="P240" i="2"/>
  <c r="W240" i="2"/>
  <c r="S240" i="2"/>
  <c r="R240" i="2"/>
  <c r="V240" i="2"/>
  <c r="R239" i="2"/>
  <c r="V239" i="2"/>
  <c r="N241" i="2"/>
  <c r="Q241" i="2"/>
  <c r="T241" i="2"/>
  <c r="U241" i="2"/>
  <c r="P241" i="2"/>
  <c r="R241" i="2"/>
  <c r="S241" i="2"/>
  <c r="V241" i="2"/>
  <c r="W241" i="2"/>
  <c r="N242" i="2"/>
  <c r="P242" i="2"/>
  <c r="S242" i="2"/>
  <c r="T242" i="2"/>
  <c r="U242" i="2"/>
  <c r="Q242" i="2"/>
  <c r="W242" i="2"/>
  <c r="N243" i="2"/>
  <c r="P243" i="2"/>
  <c r="R242" i="2"/>
  <c r="V242" i="2"/>
  <c r="S243" i="2"/>
  <c r="Q243" i="2"/>
  <c r="W243" i="2"/>
  <c r="T243" i="2"/>
  <c r="U243" i="2"/>
  <c r="R243" i="2"/>
  <c r="V243" i="2"/>
  <c r="N244" i="2"/>
  <c r="S244" i="2"/>
  <c r="Q244" i="2"/>
  <c r="T244" i="2"/>
  <c r="U244" i="2"/>
  <c r="P244" i="2"/>
  <c r="R244" i="2"/>
  <c r="V244" i="2"/>
  <c r="W244" i="2"/>
  <c r="N245" i="2"/>
  <c r="T245" i="2"/>
  <c r="U245" i="2"/>
  <c r="P245" i="2"/>
  <c r="S245" i="2"/>
  <c r="Q245" i="2"/>
  <c r="W245" i="2"/>
  <c r="R245" i="2"/>
  <c r="V245" i="2"/>
  <c r="N246" i="2"/>
  <c r="P246" i="2"/>
  <c r="T246" i="2"/>
  <c r="U246" i="2"/>
  <c r="S246" i="2"/>
  <c r="Q246" i="2"/>
  <c r="W246" i="2"/>
  <c r="N247" i="2"/>
  <c r="Q247" i="2"/>
  <c r="T247" i="2"/>
  <c r="U247" i="2"/>
  <c r="P247" i="2"/>
  <c r="S247" i="2"/>
  <c r="R246" i="2"/>
  <c r="V246" i="2"/>
  <c r="R247" i="2"/>
  <c r="V247" i="2"/>
  <c r="W247" i="2"/>
  <c r="N248" i="2"/>
  <c r="Q248" i="2"/>
  <c r="S248" i="2"/>
  <c r="T248" i="2"/>
  <c r="U248" i="2"/>
  <c r="P248" i="2"/>
  <c r="R248" i="2"/>
  <c r="V248" i="2"/>
  <c r="W248" i="2"/>
  <c r="N249" i="2"/>
  <c r="P249" i="2"/>
  <c r="Q249" i="2"/>
  <c r="T249" i="2"/>
  <c r="U249" i="2"/>
  <c r="S249" i="2"/>
  <c r="W249" i="2"/>
  <c r="N250" i="2"/>
  <c r="S250" i="2"/>
  <c r="R249" i="2"/>
  <c r="V249" i="2"/>
  <c r="T250" i="2"/>
  <c r="U250" i="2"/>
  <c r="Q250" i="2"/>
  <c r="P250" i="2"/>
  <c r="R250" i="2"/>
  <c r="V250" i="2"/>
  <c r="W250" i="2"/>
  <c r="N251" i="2"/>
  <c r="Q251" i="2"/>
  <c r="P251" i="2"/>
  <c r="W251" i="2"/>
  <c r="S251" i="2"/>
  <c r="R251" i="2"/>
  <c r="T251" i="2"/>
  <c r="U251" i="2"/>
  <c r="N252" i="2"/>
  <c r="S252" i="2"/>
  <c r="V251" i="2"/>
  <c r="P252" i="2"/>
  <c r="Q252" i="2"/>
  <c r="W252" i="2"/>
  <c r="T252" i="2"/>
  <c r="U252" i="2"/>
  <c r="N253" i="2"/>
  <c r="S253" i="2"/>
  <c r="P253" i="2"/>
  <c r="R252" i="2"/>
  <c r="V252" i="2"/>
  <c r="Q253" i="2"/>
  <c r="W253" i="2"/>
  <c r="N254" i="2"/>
  <c r="T254" i="2"/>
  <c r="U254" i="2"/>
  <c r="T253" i="2"/>
  <c r="U253" i="2"/>
  <c r="S254" i="2"/>
  <c r="Q254" i="2"/>
  <c r="R253" i="2"/>
  <c r="V253" i="2"/>
  <c r="P254" i="2"/>
  <c r="W254" i="2"/>
  <c r="N255" i="2"/>
  <c r="O254" i="2"/>
  <c r="P255" i="2"/>
  <c r="Q255" i="2"/>
  <c r="W255" i="2"/>
  <c r="T255" i="2"/>
  <c r="U255" i="2"/>
  <c r="S255" i="2"/>
  <c r="R254" i="2"/>
  <c r="V254" i="2"/>
  <c r="N256" i="2"/>
  <c r="Q256" i="2"/>
  <c r="O255" i="2"/>
  <c r="S256" i="2"/>
  <c r="P256" i="2"/>
  <c r="W256" i="2"/>
  <c r="O256" i="2"/>
  <c r="R255" i="2"/>
  <c r="V255" i="2"/>
  <c r="N257" i="2"/>
  <c r="P257" i="2"/>
  <c r="R256" i="2"/>
  <c r="T256" i="2"/>
  <c r="U256" i="2"/>
  <c r="Q257" i="2"/>
  <c r="W257" i="2"/>
  <c r="S257" i="2"/>
  <c r="T257" i="2"/>
  <c r="U257" i="2"/>
  <c r="V256" i="2"/>
  <c r="N258" i="2"/>
  <c r="T258" i="2"/>
  <c r="U258" i="2"/>
  <c r="O257" i="2"/>
  <c r="S258" i="2"/>
  <c r="Q258" i="2"/>
  <c r="R257" i="2"/>
  <c r="V257" i="2"/>
  <c r="P258" i="2"/>
  <c r="R258" i="2"/>
  <c r="V258" i="2"/>
  <c r="W258" i="2"/>
  <c r="N259" i="2"/>
  <c r="P259" i="2"/>
  <c r="O258" i="2"/>
  <c r="S259" i="2"/>
  <c r="T259" i="2"/>
  <c r="U259" i="2"/>
  <c r="Q259" i="2"/>
  <c r="W259" i="2"/>
  <c r="R259" i="2"/>
  <c r="V259" i="2"/>
  <c r="O259" i="2"/>
  <c r="V260" i="2"/>
  <c r="N260" i="2"/>
  <c r="U260" i="2"/>
  <c r="W260" i="2"/>
  <c r="S260" i="2"/>
  <c r="Q260" i="2"/>
  <c r="P260" i="2"/>
  <c r="R260" i="2"/>
  <c r="T260" i="2"/>
  <c r="Q261" i="2"/>
  <c r="S261" i="2"/>
  <c r="R261" i="2"/>
  <c r="O260" i="2"/>
  <c r="V261" i="2"/>
  <c r="N261" i="2"/>
  <c r="U261" i="2"/>
  <c r="W261" i="2"/>
  <c r="T261" i="2"/>
  <c r="P261" i="2"/>
  <c r="V262" i="2"/>
  <c r="Q262" i="2"/>
  <c r="P262" i="2"/>
  <c r="N262" i="2"/>
  <c r="W262" i="2"/>
  <c r="U262" i="2"/>
  <c r="T262" i="2"/>
  <c r="R262" i="2"/>
  <c r="S262" i="2"/>
  <c r="O261" i="2"/>
  <c r="R263" i="2"/>
  <c r="V263" i="2"/>
  <c r="S263" i="2"/>
  <c r="O262" i="2"/>
  <c r="Q263" i="2"/>
  <c r="U263" i="2"/>
  <c r="T263" i="2"/>
  <c r="N263" i="2"/>
  <c r="P263" i="2"/>
  <c r="W263" i="2"/>
  <c r="W264" i="2"/>
  <c r="V264" i="2"/>
  <c r="Q264" i="2"/>
  <c r="U264" i="2"/>
  <c r="T264" i="2"/>
  <c r="S264" i="2"/>
  <c r="R264" i="2"/>
  <c r="N264" i="2"/>
  <c r="P264" i="2"/>
  <c r="O263" i="2"/>
  <c r="N265" i="2"/>
  <c r="P265" i="2"/>
  <c r="O264" i="2"/>
  <c r="V265" i="2"/>
  <c r="W265" i="2"/>
  <c r="S265" i="2"/>
  <c r="U265" i="2"/>
  <c r="T265" i="2"/>
  <c r="R265" i="2"/>
  <c r="Q265" i="2"/>
  <c r="S266" i="2"/>
  <c r="Q266" i="2"/>
  <c r="R266" i="2"/>
  <c r="W266" i="2"/>
  <c r="N266" i="2"/>
  <c r="U266" i="2"/>
  <c r="P266" i="2"/>
  <c r="O265" i="2"/>
  <c r="V266" i="2"/>
  <c r="T266" i="2"/>
  <c r="Q267" i="2"/>
  <c r="W267" i="2"/>
  <c r="N267" i="2"/>
  <c r="R267" i="2"/>
  <c r="O266" i="2"/>
  <c r="S267" i="2"/>
  <c r="U267" i="2"/>
  <c r="V267" i="2"/>
  <c r="T267" i="2"/>
  <c r="P267" i="2"/>
  <c r="O267" i="2"/>
  <c r="V268" i="2"/>
  <c r="U268" i="2"/>
  <c r="R268" i="2"/>
  <c r="P268" i="2"/>
  <c r="Q268" i="2"/>
  <c r="N268" i="2"/>
  <c r="W268" i="2"/>
  <c r="S268" i="2"/>
  <c r="T268" i="2"/>
  <c r="T269" i="2"/>
  <c r="W269" i="2"/>
  <c r="V269" i="2"/>
  <c r="U269" i="2"/>
  <c r="P269" i="2"/>
  <c r="Q269" i="2"/>
  <c r="R269" i="2"/>
  <c r="O268" i="2"/>
  <c r="N269" i="2"/>
  <c r="S269" i="2"/>
  <c r="W270" i="2"/>
  <c r="O269" i="2"/>
  <c r="U270" i="2"/>
  <c r="Q270" i="2"/>
  <c r="P270" i="2"/>
  <c r="R270" i="2"/>
  <c r="N270" i="2"/>
  <c r="V270" i="2"/>
  <c r="S270" i="2"/>
  <c r="T270" i="2"/>
  <c r="N271" i="2"/>
  <c r="V271" i="2"/>
  <c r="S271" i="2"/>
  <c r="O270" i="2"/>
  <c r="Q271" i="2"/>
  <c r="T271" i="2"/>
  <c r="R271" i="2"/>
  <c r="W271" i="2"/>
  <c r="P271" i="2"/>
  <c r="U271" i="2"/>
  <c r="R272" i="2"/>
  <c r="Q272" i="2"/>
  <c r="V272" i="2"/>
  <c r="T272" i="2"/>
  <c r="N272" i="2"/>
  <c r="W272" i="2"/>
  <c r="S272" i="2"/>
  <c r="O271" i="2"/>
  <c r="U272" i="2"/>
  <c r="P272" i="2"/>
  <c r="Q273" i="2"/>
  <c r="S273" i="2"/>
  <c r="R273" i="2"/>
  <c r="T273" i="2"/>
  <c r="O272" i="2"/>
  <c r="U273" i="2"/>
  <c r="N273" i="2"/>
  <c r="V273" i="2"/>
  <c r="W273" i="2"/>
  <c r="P273" i="2"/>
  <c r="S274" i="2"/>
  <c r="W274" i="2"/>
  <c r="P274" i="2"/>
  <c r="R274" i="2"/>
  <c r="N274" i="2"/>
  <c r="Q274" i="2"/>
  <c r="U274" i="2"/>
  <c r="T274" i="2"/>
  <c r="O273" i="2"/>
  <c r="V274" i="2"/>
  <c r="U275" i="2"/>
  <c r="V275" i="2"/>
  <c r="N275" i="2"/>
  <c r="W275" i="2"/>
  <c r="Q275" i="2"/>
  <c r="R275" i="2"/>
  <c r="P275" i="2"/>
  <c r="T275" i="2"/>
  <c r="S275" i="2"/>
  <c r="O274" i="2"/>
  <c r="U276" i="2"/>
  <c r="V276" i="2"/>
  <c r="R276" i="2"/>
  <c r="T276" i="2"/>
  <c r="W276" i="2"/>
  <c r="N276" i="2"/>
  <c r="O275" i="2"/>
  <c r="Q276" i="2"/>
  <c r="S276" i="2"/>
  <c r="P276" i="2"/>
  <c r="V277" i="2"/>
  <c r="T277" i="2"/>
  <c r="W277" i="2"/>
  <c r="O276" i="2"/>
  <c r="Q277" i="2"/>
  <c r="S277" i="2"/>
  <c r="R277" i="2"/>
  <c r="U277" i="2"/>
  <c r="P277" i="2"/>
  <c r="N277" i="2"/>
  <c r="R278" i="2"/>
  <c r="N278" i="2"/>
  <c r="S278" i="2"/>
  <c r="O277" i="2"/>
  <c r="P278" i="2"/>
  <c r="V278" i="2"/>
  <c r="T278" i="2"/>
  <c r="U278" i="2"/>
  <c r="Q278" i="2"/>
  <c r="W278" i="2"/>
  <c r="V279" i="2"/>
  <c r="W279" i="2"/>
  <c r="N279" i="2"/>
  <c r="R279" i="2"/>
  <c r="Q279" i="2"/>
  <c r="T279" i="2"/>
  <c r="S279" i="2"/>
  <c r="P279" i="2"/>
  <c r="O278" i="2"/>
  <c r="U279" i="2"/>
  <c r="R280" i="2"/>
  <c r="N280" i="2"/>
  <c r="O279" i="2"/>
  <c r="Q280" i="2"/>
  <c r="T280" i="2"/>
  <c r="P280" i="2"/>
  <c r="V280" i="2"/>
  <c r="U280" i="2"/>
  <c r="W280" i="2"/>
  <c r="S280" i="2"/>
  <c r="P281" i="2"/>
  <c r="S281" i="2"/>
  <c r="V281" i="2"/>
  <c r="R281" i="2"/>
  <c r="Q281" i="2"/>
  <c r="N281" i="2"/>
  <c r="W281" i="2"/>
  <c r="O280" i="2"/>
  <c r="T281" i="2"/>
  <c r="U281" i="2"/>
  <c r="S282" i="2"/>
  <c r="O281" i="2"/>
  <c r="R282" i="2"/>
  <c r="P282" i="2"/>
  <c r="W282" i="2"/>
  <c r="V282" i="2"/>
  <c r="T282" i="2"/>
  <c r="U282" i="2"/>
  <c r="N282" i="2"/>
  <c r="Q282" i="2"/>
  <c r="W283" i="2"/>
  <c r="N283" i="2"/>
  <c r="V283" i="2"/>
  <c r="S283" i="2"/>
  <c r="Q283" i="2"/>
  <c r="R283" i="2"/>
  <c r="O282" i="2"/>
  <c r="P283" i="2"/>
  <c r="U283" i="2"/>
  <c r="T283" i="2"/>
  <c r="P284" i="2"/>
  <c r="O283" i="2"/>
  <c r="V284" i="2"/>
  <c r="S284" i="2"/>
  <c r="T284" i="2"/>
  <c r="R284" i="2"/>
  <c r="N284" i="2"/>
  <c r="Q284" i="2"/>
  <c r="U284" i="2"/>
  <c r="W284" i="2"/>
  <c r="T285" i="2"/>
  <c r="S285" i="2"/>
  <c r="V285" i="2"/>
  <c r="N285" i="2"/>
  <c r="U285" i="2"/>
  <c r="Q285" i="2"/>
  <c r="P285" i="2"/>
  <c r="R285" i="2"/>
  <c r="W285" i="2"/>
  <c r="O284" i="2"/>
  <c r="O285" i="2"/>
  <c r="R286" i="2"/>
  <c r="N286" i="2"/>
  <c r="Q286" i="2"/>
  <c r="U286" i="2"/>
  <c r="P286" i="2"/>
  <c r="W286" i="2"/>
  <c r="T286" i="2"/>
  <c r="S286" i="2"/>
  <c r="V286" i="2"/>
  <c r="R287" i="2"/>
  <c r="N287" i="2"/>
  <c r="O286" i="2"/>
  <c r="U287" i="2"/>
  <c r="T287" i="2"/>
  <c r="Q287" i="2"/>
  <c r="P287" i="2"/>
  <c r="S287" i="2"/>
  <c r="W287" i="2"/>
  <c r="V287" i="2"/>
  <c r="S288" i="2"/>
  <c r="W288" i="2"/>
  <c r="N288" i="2"/>
  <c r="O287" i="2"/>
  <c r="P288" i="2"/>
  <c r="V288" i="2"/>
  <c r="Q288" i="2"/>
  <c r="U288" i="2"/>
  <c r="R288" i="2"/>
  <c r="T288" i="2"/>
  <c r="R289" i="2"/>
  <c r="W289" i="2"/>
  <c r="T289" i="2"/>
  <c r="U289" i="2"/>
  <c r="Q289" i="2"/>
  <c r="P289" i="2"/>
  <c r="N289" i="2"/>
  <c r="V289" i="2"/>
  <c r="S289" i="2"/>
  <c r="O288" i="2"/>
  <c r="W290" i="2"/>
  <c r="S290" i="2"/>
  <c r="R290" i="2"/>
  <c r="T290" i="2"/>
  <c r="O289" i="2"/>
  <c r="P290" i="2"/>
  <c r="N290" i="2"/>
  <c r="V290" i="2"/>
  <c r="U290" i="2"/>
  <c r="Q290" i="2"/>
  <c r="V291" i="2"/>
  <c r="W291" i="2"/>
  <c r="O290" i="2"/>
  <c r="T291" i="2"/>
  <c r="R291" i="2"/>
  <c r="P291" i="2"/>
  <c r="N291" i="2"/>
  <c r="S291" i="2"/>
  <c r="Q291" i="2"/>
  <c r="U291" i="2"/>
  <c r="N292" i="2"/>
  <c r="S292" i="2"/>
  <c r="O291" i="2"/>
  <c r="V292" i="2"/>
  <c r="R292" i="2"/>
  <c r="T292" i="2"/>
  <c r="P292" i="2"/>
  <c r="Q292" i="2"/>
  <c r="U292" i="2"/>
  <c r="W292" i="2"/>
  <c r="P293" i="2"/>
  <c r="S293" i="2"/>
  <c r="Q293" i="2"/>
  <c r="V293" i="2"/>
  <c r="N293" i="2"/>
  <c r="T293" i="2"/>
  <c r="U293" i="2"/>
  <c r="O292" i="2"/>
  <c r="W293" i="2"/>
  <c r="R293" i="2"/>
  <c r="N294" i="2"/>
  <c r="Q294" i="2"/>
  <c r="T294" i="2"/>
  <c r="S294" i="2"/>
  <c r="V294" i="2"/>
  <c r="R294" i="2"/>
  <c r="W294" i="2"/>
  <c r="O293" i="2"/>
  <c r="P294" i="2"/>
  <c r="U294" i="2"/>
  <c r="T295" i="2"/>
  <c r="P295" i="2"/>
  <c r="O294" i="2"/>
  <c r="N295" i="2"/>
  <c r="U295" i="2"/>
  <c r="R295" i="2"/>
  <c r="W295" i="2"/>
  <c r="S295" i="2"/>
  <c r="Q295" i="2"/>
  <c r="V295" i="2"/>
  <c r="Q296" i="2"/>
  <c r="N296" i="2"/>
  <c r="U296" i="2"/>
  <c r="O295" i="2"/>
  <c r="S296" i="2"/>
  <c r="R296" i="2"/>
  <c r="P296" i="2"/>
  <c r="W296" i="2"/>
  <c r="T296" i="2"/>
  <c r="V296" i="2"/>
  <c r="Q297" i="2"/>
  <c r="S297" i="2"/>
  <c r="O296" i="2"/>
  <c r="V297" i="2"/>
  <c r="T297" i="2"/>
  <c r="W297" i="2"/>
  <c r="U297" i="2"/>
  <c r="N297" i="2"/>
  <c r="P297" i="2"/>
  <c r="R297" i="2"/>
  <c r="U298" i="2"/>
  <c r="N298" i="2"/>
  <c r="V298" i="2"/>
  <c r="R298" i="2"/>
  <c r="Q298" i="2"/>
  <c r="S298" i="2"/>
  <c r="W298" i="2"/>
  <c r="T298" i="2"/>
  <c r="P298" i="2"/>
  <c r="O297" i="2"/>
  <c r="T299" i="2"/>
  <c r="O298" i="2"/>
  <c r="R299" i="2"/>
  <c r="S299" i="2"/>
  <c r="Q299" i="2"/>
  <c r="P299" i="2"/>
  <c r="W299" i="2"/>
  <c r="V299" i="2"/>
  <c r="N299" i="2"/>
  <c r="U299" i="2"/>
  <c r="P300" i="2"/>
  <c r="W300" i="2"/>
  <c r="S300" i="2"/>
  <c r="N300" i="2"/>
  <c r="Q300" i="2"/>
  <c r="V300" i="2"/>
  <c r="O299" i="2"/>
  <c r="U300" i="2"/>
  <c r="R300" i="2"/>
  <c r="T300" i="2"/>
  <c r="W301" i="2"/>
  <c r="S301" i="2"/>
  <c r="V301" i="2"/>
  <c r="U301" i="2"/>
  <c r="P301" i="2"/>
  <c r="Q301" i="2"/>
  <c r="O300" i="2"/>
  <c r="T301" i="2"/>
  <c r="N301" i="2"/>
  <c r="R301" i="2"/>
  <c r="N302" i="2"/>
  <c r="S302" i="2"/>
  <c r="W302" i="2"/>
  <c r="O301" i="2"/>
  <c r="R302" i="2"/>
  <c r="T302" i="2"/>
  <c r="V302" i="2"/>
  <c r="U302" i="2"/>
  <c r="Q302" i="2"/>
  <c r="P302" i="2"/>
  <c r="N303" i="2"/>
  <c r="Q303" i="2"/>
  <c r="W303" i="2"/>
  <c r="O302" i="2"/>
  <c r="T303" i="2"/>
  <c r="V303" i="2"/>
  <c r="U303" i="2"/>
  <c r="R303" i="2"/>
  <c r="P303" i="2"/>
  <c r="S303" i="2"/>
  <c r="V304" i="2"/>
  <c r="N304" i="2"/>
  <c r="R304" i="2"/>
  <c r="T304" i="2"/>
  <c r="S304" i="2"/>
  <c r="U304" i="2"/>
  <c r="O303" i="2"/>
  <c r="Q304" i="2"/>
  <c r="P304" i="2"/>
  <c r="W304" i="2"/>
  <c r="W305" i="2"/>
  <c r="P305" i="2"/>
  <c r="S305" i="2"/>
  <c r="V305" i="2"/>
  <c r="O304" i="2"/>
  <c r="Q305" i="2"/>
  <c r="N305" i="2"/>
  <c r="T305" i="2"/>
  <c r="R305" i="2"/>
  <c r="U305" i="2"/>
  <c r="S306" i="2"/>
  <c r="P306" i="2"/>
  <c r="U306" i="2"/>
  <c r="Q306" i="2"/>
  <c r="W306" i="2"/>
  <c r="N306" i="2"/>
  <c r="T306" i="2"/>
  <c r="V306" i="2"/>
  <c r="R306" i="2"/>
  <c r="O305" i="2"/>
  <c r="Q307" i="2"/>
  <c r="U307" i="2"/>
  <c r="R307" i="2"/>
  <c r="N307" i="2"/>
  <c r="T307" i="2"/>
  <c r="P307" i="2"/>
  <c r="W307" i="2"/>
  <c r="O306" i="2"/>
  <c r="V307" i="2"/>
  <c r="S307" i="2"/>
  <c r="V308" i="2"/>
  <c r="T308" i="2"/>
  <c r="U308" i="2"/>
  <c r="P308" i="2"/>
  <c r="O307" i="2"/>
  <c r="R308" i="2"/>
  <c r="S308" i="2"/>
  <c r="N308" i="2"/>
  <c r="Q308" i="2"/>
  <c r="W308" i="2"/>
  <c r="Q309" i="2"/>
  <c r="T309" i="2"/>
  <c r="P309" i="2"/>
  <c r="V309" i="2"/>
  <c r="R309" i="2"/>
  <c r="N309" i="2"/>
  <c r="W309" i="2"/>
  <c r="O308" i="2"/>
  <c r="U309" i="2"/>
  <c r="S309" i="2"/>
  <c r="W310" i="2"/>
  <c r="U310" i="2"/>
  <c r="Q310" i="2"/>
  <c r="V310" i="2"/>
  <c r="O309" i="2"/>
  <c r="R310" i="2"/>
  <c r="S310" i="2"/>
  <c r="P310" i="2"/>
  <c r="T310" i="2"/>
  <c r="N310" i="2"/>
  <c r="S311" i="2"/>
  <c r="R311" i="2"/>
  <c r="T311" i="2"/>
  <c r="V311" i="2"/>
  <c r="N311" i="2"/>
  <c r="Q311" i="2"/>
  <c r="P311" i="2"/>
  <c r="W311" i="2"/>
  <c r="U311" i="2"/>
  <c r="O310" i="2"/>
  <c r="U312" i="2"/>
  <c r="O311" i="2"/>
  <c r="P312" i="2"/>
  <c r="S312" i="2"/>
  <c r="R312" i="2"/>
  <c r="W312" i="2"/>
  <c r="V312" i="2"/>
  <c r="T312" i="2"/>
  <c r="N312" i="2"/>
  <c r="Q312" i="2"/>
  <c r="W313" i="2"/>
  <c r="P313" i="2"/>
  <c r="S313" i="2"/>
  <c r="C13" i="2"/>
  <c r="O312" i="2"/>
  <c r="N313" i="2"/>
  <c r="R313" i="2"/>
  <c r="Q313" i="2"/>
  <c r="U313" i="2"/>
  <c r="C15" i="2"/>
  <c r="T313" i="2"/>
  <c r="C14" i="2"/>
  <c r="V313" i="2"/>
  <c r="C19" i="2"/>
  <c r="O313" i="2"/>
  <c r="C16" i="2"/>
  <c r="C23" i="2"/>
  <c r="C22" i="2"/>
  <c r="I27" i="2"/>
  <c r="V9" i="2"/>
  <c r="H40" i="7"/>
  <c r="I28" i="2"/>
  <c r="V10" i="2"/>
  <c r="H41" i="7"/>
</calcChain>
</file>

<file path=xl/sharedStrings.xml><?xml version="1.0" encoding="utf-8"?>
<sst xmlns="http://schemas.openxmlformats.org/spreadsheetml/2006/main" count="223" uniqueCount="191">
  <si>
    <t>Mês</t>
  </si>
  <si>
    <t>SAC</t>
  </si>
  <si>
    <t>PAINEL ADMIN</t>
  </si>
  <si>
    <t>PAINEL</t>
  </si>
  <si>
    <t>DADOS DA PROPOSTA</t>
  </si>
  <si>
    <t>Taxa Pré-Fixado</t>
  </si>
  <si>
    <t>MÊS DE REFERÊNCIA</t>
  </si>
  <si>
    <t>Valor do Crédito</t>
  </si>
  <si>
    <t>Taxa Pós-Fixado</t>
  </si>
  <si>
    <t>Valor do imóvel</t>
  </si>
  <si>
    <t>DADOS DA PROPOSTA (Sujeito a aprovação de crédito)</t>
  </si>
  <si>
    <t>Indexador atual</t>
  </si>
  <si>
    <t>IPCA</t>
  </si>
  <si>
    <t>Composição CAC - (R$)</t>
  </si>
  <si>
    <t>Prazo Amort.</t>
  </si>
  <si>
    <t>Valor do Crédito:</t>
  </si>
  <si>
    <t>Taxa Efet. Anual:</t>
  </si>
  <si>
    <t>% Comprom. Renda</t>
  </si>
  <si>
    <t>Taxa de Registro (R$)</t>
  </si>
  <si>
    <t>Tabela</t>
  </si>
  <si>
    <t>Prazo Amort.:</t>
  </si>
  <si>
    <t>Taxa Efet. Mensal:</t>
  </si>
  <si>
    <t>LTV Máximo</t>
  </si>
  <si>
    <t>Taxa de averbações (R$)</t>
  </si>
  <si>
    <t>Sistema Amort.</t>
  </si>
  <si>
    <t>Tabela:</t>
  </si>
  <si>
    <t>CET Anual:</t>
  </si>
  <si>
    <t>IOF(%)</t>
  </si>
  <si>
    <t>Avaliação Imóvel (R$)</t>
  </si>
  <si>
    <t xml:space="preserve">Renda </t>
  </si>
  <si>
    <t>Sistema Amort.:</t>
  </si>
  <si>
    <t>CET Mensal:</t>
  </si>
  <si>
    <t>Tx Admin (Gaia - Mensal)</t>
  </si>
  <si>
    <t>Cívil (R$)</t>
  </si>
  <si>
    <t>Data Nasc.</t>
  </si>
  <si>
    <t>PLANILHA DE PAGAMENTO</t>
  </si>
  <si>
    <t>Inf. Adicionais / Apoio</t>
  </si>
  <si>
    <t>Forenses (R$)</t>
  </si>
  <si>
    <t>Parc.</t>
  </si>
  <si>
    <t>Amort.</t>
  </si>
  <si>
    <t>Encargos</t>
  </si>
  <si>
    <t>Prestação</t>
  </si>
  <si>
    <t>MIP</t>
  </si>
  <si>
    <t>DFI</t>
  </si>
  <si>
    <t>Tx Adm</t>
  </si>
  <si>
    <t>C/ Seguro</t>
  </si>
  <si>
    <t>Saldo Dev.</t>
  </si>
  <si>
    <t>Total MIP</t>
  </si>
  <si>
    <t>Outros (R$)</t>
  </si>
  <si>
    <t>Total DFI</t>
  </si>
  <si>
    <t>Estruturação (R$)</t>
  </si>
  <si>
    <t>DADOS PARA ANÁLISE</t>
  </si>
  <si>
    <t>Tx Admin (Gaia - Total)</t>
  </si>
  <si>
    <t>CAC - TOTAL (R$)</t>
  </si>
  <si>
    <t>Idade Cliente</t>
  </si>
  <si>
    <t>Parcelas e Total</t>
  </si>
  <si>
    <t>Idade Máx</t>
  </si>
  <si>
    <t>Parcela Inicial (S/ Seguro)</t>
  </si>
  <si>
    <t>Tipo de Cliente - BASE IOF</t>
  </si>
  <si>
    <t>Taxa Efet. Anual</t>
  </si>
  <si>
    <t>Parcela Inicial (C/ Seguro)</t>
  </si>
  <si>
    <t>Pessoa Física</t>
  </si>
  <si>
    <t>Taxa Efet. Mensal</t>
  </si>
  <si>
    <t>Total Tomado</t>
  </si>
  <si>
    <t>IOF(R$)</t>
  </si>
  <si>
    <t>CET Anual</t>
  </si>
  <si>
    <t>Custo Efetivo</t>
  </si>
  <si>
    <t>CET Mensal</t>
  </si>
  <si>
    <t>CET Ano (%)</t>
  </si>
  <si>
    <t>Estruturação e Seguros</t>
  </si>
  <si>
    <t>CET Mês (%)</t>
  </si>
  <si>
    <t>Estruturação (%)</t>
  </si>
  <si>
    <t>MIP (%)</t>
  </si>
  <si>
    <t>LTV</t>
  </si>
  <si>
    <t>DFI(%)</t>
  </si>
  <si>
    <t>CARÊNCIA</t>
  </si>
  <si>
    <t>Período Amortização</t>
  </si>
  <si>
    <t>Taxa Mensal</t>
  </si>
  <si>
    <t>NÃO</t>
  </si>
  <si>
    <t>Pessoa Jurídica</t>
  </si>
  <si>
    <t xml:space="preserve">Opção </t>
  </si>
  <si>
    <t>PRAZO</t>
  </si>
  <si>
    <t>IOF</t>
  </si>
  <si>
    <t>Tipo de Carência</t>
  </si>
  <si>
    <t>Amortização</t>
  </si>
  <si>
    <t>PRICE</t>
  </si>
  <si>
    <t>Carência</t>
  </si>
  <si>
    <t>Saldo a amortizar</t>
  </si>
  <si>
    <t>Extender período</t>
  </si>
  <si>
    <t>SIM</t>
  </si>
  <si>
    <t>APOIO</t>
  </si>
  <si>
    <t>Período de Carência</t>
  </si>
  <si>
    <t>Amortização e Encargos</t>
  </si>
  <si>
    <t>Período Total</t>
  </si>
  <si>
    <t>QUADRO RESUMO DA PROPOSTA</t>
  </si>
  <si>
    <t>% Seguro</t>
  </si>
  <si>
    <t>DADOS DO IMÓVEL</t>
  </si>
  <si>
    <t>PARCEIRO ORIGINADOR</t>
  </si>
  <si>
    <t>CIA HIPOTECÁRIA</t>
  </si>
  <si>
    <t>VALOR DO CONTRATO</t>
  </si>
  <si>
    <t>Prêmio - Companhia Hipotecaria</t>
  </si>
  <si>
    <r>
      <t xml:space="preserve">PIS/COFINS - </t>
    </r>
    <r>
      <rPr>
        <i/>
        <sz val="11"/>
        <color theme="3"/>
        <rFont val="Calibri"/>
        <family val="2"/>
        <scheme val="minor"/>
      </rPr>
      <t>(c/ gross up) - 4,65%</t>
    </r>
  </si>
  <si>
    <t>TOTAL PRÊMIO Cia Hipotecária</t>
  </si>
  <si>
    <t>Antecipação de Pagto</t>
  </si>
  <si>
    <t>Valor da Cessão Bruto</t>
  </si>
  <si>
    <t>Dívidas do cliente a pagar</t>
  </si>
  <si>
    <t>Valor da Cessão Líquido</t>
  </si>
  <si>
    <t>Desembolso ao cliente</t>
  </si>
  <si>
    <t xml:space="preserve">Nro. Proposta </t>
  </si>
  <si>
    <t>CONDIÇÕES</t>
  </si>
  <si>
    <t>Condições Aprovadas</t>
  </si>
  <si>
    <t>Valor do Contrato (líquido)</t>
  </si>
  <si>
    <t>Amort. (principal)</t>
  </si>
  <si>
    <t>Valor do Imóvel</t>
  </si>
  <si>
    <t>Prestação (S/ Seguro)</t>
  </si>
  <si>
    <t>Prazo</t>
  </si>
  <si>
    <t>Renda do Cliente</t>
  </si>
  <si>
    <t>Comprometimento da Renda</t>
  </si>
  <si>
    <t>Prestação (C/ Seguro)</t>
  </si>
  <si>
    <t>Dados bancários para Desembolso</t>
  </si>
  <si>
    <t>Banco</t>
  </si>
  <si>
    <t>Agência</t>
  </si>
  <si>
    <t>Conta Corrente</t>
  </si>
  <si>
    <t>Titular</t>
  </si>
  <si>
    <t>Distribuição das despesas</t>
  </si>
  <si>
    <t>Condições aprovadas</t>
  </si>
  <si>
    <t>Valor para despesas acessórias</t>
  </si>
  <si>
    <t>Taxa a.a</t>
  </si>
  <si>
    <t>Custas cartório</t>
  </si>
  <si>
    <t>Taxa a.m</t>
  </si>
  <si>
    <t>Avaliação Imóvel</t>
  </si>
  <si>
    <t>CET a.a</t>
  </si>
  <si>
    <t>Prêmio Cia Hipotecária</t>
  </si>
  <si>
    <t>CET a.m</t>
  </si>
  <si>
    <t>Comissão Parceiro Originador</t>
  </si>
  <si>
    <t>Comissão Comercial</t>
  </si>
  <si>
    <t>Sistema de Amortização</t>
  </si>
  <si>
    <t>Despesas de Correio</t>
  </si>
  <si>
    <t>Indexador</t>
  </si>
  <si>
    <t>Reconhecimentos de Firma</t>
  </si>
  <si>
    <t>TABELA</t>
  </si>
  <si>
    <t>PRÊMIO CYRELA</t>
  </si>
  <si>
    <t>CNPJ</t>
  </si>
  <si>
    <t>Conta Razão</t>
  </si>
  <si>
    <t>C/C</t>
  </si>
  <si>
    <t>Comissão</t>
  </si>
  <si>
    <t>CÓD SAP</t>
  </si>
  <si>
    <t>Tp Doc</t>
  </si>
  <si>
    <t>CIA HIPOTECÁRIA BRASILEIRA (CHB)</t>
  </si>
  <si>
    <t xml:space="preserve">10.694.628/0001-98 </t>
  </si>
  <si>
    <t>237 - Bradesco</t>
  </si>
  <si>
    <t>2632-8</t>
  </si>
  <si>
    <t>120.404-1</t>
  </si>
  <si>
    <t>HE</t>
  </si>
  <si>
    <t>1º PROPONENTE</t>
  </si>
  <si>
    <t>CIA HIPOTECÁRIA PIRATINI (CHP)</t>
  </si>
  <si>
    <t>18.282.093/0001-50</t>
  </si>
  <si>
    <t>30501-4</t>
  </si>
  <si>
    <t>CÔNJUGE</t>
  </si>
  <si>
    <t>Apoio - Soma Saldo Dev</t>
  </si>
  <si>
    <t>Espelho do QR</t>
  </si>
  <si>
    <t>Período Carência</t>
  </si>
  <si>
    <t>Período Amortiz.</t>
  </si>
  <si>
    <t>&lt; Inserir o valor da Hipotecária manualmente</t>
  </si>
  <si>
    <t>&lt; Informar a Hipotecária manualmente</t>
  </si>
  <si>
    <t>QI TECH</t>
  </si>
  <si>
    <t>IQ (Interveniente Quitante)</t>
  </si>
  <si>
    <t>COMERCIAL RESPONSÁVEL</t>
  </si>
  <si>
    <t>Outras despesas</t>
  </si>
  <si>
    <t>Isento</t>
  </si>
  <si>
    <t>Cliente:</t>
  </si>
  <si>
    <t>Data da Simulação:</t>
  </si>
  <si>
    <t>Renda Necessária</t>
  </si>
  <si>
    <t>Pré-Fixado</t>
  </si>
  <si>
    <t>A.m</t>
  </si>
  <si>
    <t>A.a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</si>
  <si>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rgb="FF00B050"/>
        <rFont val="Calibri"/>
        <family val="2"/>
        <scheme val="minor"/>
      </rPr>
      <t>Destacado em Verde:</t>
    </r>
    <r>
      <rPr>
        <sz val="11"/>
        <color rgb="FF00B05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Significa que devemos alterar estes dados de acordo com o proposto ao cliente.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</si>
  <si>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11"/>
        <color rgb="FFFF0000"/>
        <rFont val="Calibri"/>
        <family val="2"/>
        <scheme val="minor"/>
      </rPr>
      <t>Destacado em Vermelho: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Significa que não devemos alterar estes parâmetros neste momento, considerando apresentação de produtos atualizada para o período.</t>
    </r>
  </si>
  <si>
    <t>Obs.: Todos os meses, favor verificar se houve alteração nos dados.</t>
  </si>
  <si>
    <t>PRAZOS</t>
  </si>
  <si>
    <t>CARÊNCIAS</t>
  </si>
  <si>
    <t>PRICE ATÉ 144X</t>
  </si>
  <si>
    <t>03 MESES - Juros e principal</t>
  </si>
  <si>
    <t>SAC ATÉ 240X</t>
  </si>
  <si>
    <t>06 MESES - apenas do principal</t>
  </si>
  <si>
    <t>12 MESES - à negociar</t>
  </si>
  <si>
    <t>1.09%</t>
  </si>
  <si>
    <t>Obs.: Taxas aplicadas com base no score Cashme x score Serasa do cliente, porém, em média por pesquisa realizada em nossa base de clientes, ficam em sua maioria na faixa de 0,99%</t>
  </si>
  <si>
    <t>TAXA</t>
  </si>
  <si>
    <t>PÓS FIXADA</t>
  </si>
  <si>
    <t>Obs.: Taxas pré fixadas o sitema calcula o acrescimo em cima dos percentuais da tabela de forma automátca, apenas trocando o campo pós fixada para pré fixada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</si>
</sst>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0%"/>
    <numFmt numFmtId="166" formatCode="[$-416]mmmm\-yy;@"/>
    <numFmt numFmtId="167" formatCode="#,##0.00_ ;\-#,##0.00\ "/>
    <numFmt numFmtId="168" formatCode="0\ &quot;meses&quot;"/>
    <numFmt numFmtId="169" formatCode="0.0000%\ &quot;a.a.&quot;"/>
    <numFmt numFmtId="170" formatCode="0\ &quot;Meses&quot;"/>
    <numFmt numFmtId="171" formatCode="0.0000%\ &quot;a.m.&quot;"/>
    <numFmt numFmtId="172" formatCode="[$-416]mmm\-yy;@"/>
    <numFmt numFmtId="173" formatCode="0\ &quot;anos&quot;"/>
    <numFmt numFmtId="174" formatCode="0.00%\ &quot;+ Despesas acessórias (CAC)&quot;"/>
    <numFmt numFmtId="175" formatCode="0.00%\ &quot;a.a.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name val="Arial"/>
      <family val="2"/>
    </font>
    <font>
      <b/>
      <i/>
      <u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theme="6" tint="0.79995117038483843"/>
      </left>
      <right style="medium">
        <color theme="6" tint="0.79995117038483843"/>
      </right>
      <top style="medium">
        <color theme="6" tint="0.79995117038483843"/>
      </top>
      <bottom style="medium">
        <color theme="6" tint="0.79995117038483843"/>
      </bottom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5117038483843"/>
      </bottom>
      <diagonal/>
    </border>
    <border>
      <left/>
      <right/>
      <top style="thin">
        <color theme="3" tint="0.79995117038483843"/>
      </top>
      <bottom style="thin">
        <color theme="3" tint="0.79998168889431442"/>
      </bottom>
      <diagonal/>
    </border>
    <border>
      <left style="medium">
        <color theme="6" tint="0.79998168889431442"/>
      </left>
      <right style="medium">
        <color theme="6" tint="0.79998168889431442"/>
      </right>
      <top style="medium">
        <color theme="6" tint="0.79998168889431442"/>
      </top>
      <bottom style="medium">
        <color theme="6" tint="0.79998168889431442"/>
      </bottom>
      <diagonal/>
    </border>
    <border>
      <left style="thin">
        <color theme="3" tint="0.79998168889431442"/>
      </left>
      <right style="thin">
        <color theme="3" tint="0.79995117038483843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8168889431442"/>
      </left>
      <right/>
      <top style="thin">
        <color theme="3" tint="0.79998168889431442"/>
      </top>
      <bottom style="thin">
        <color theme="3" tint="0.79998168889431442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 style="thin">
        <color theme="4" tint="0.59996337778862885"/>
      </top>
      <bottom/>
      <diagonal/>
    </border>
    <border>
      <left style="thin">
        <color theme="3" tint="0.79998168889431442"/>
      </left>
      <right/>
      <top/>
      <bottom/>
      <diagonal/>
    </border>
    <border>
      <left/>
      <right style="thin">
        <color theme="3" tint="0.79998168889431442"/>
      </right>
      <top/>
      <bottom/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3" tint="0.79995117038483843"/>
      </left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 style="thin">
        <color theme="3" tint="0.79995117038483843"/>
      </left>
      <right/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rgb="FFFFFF00"/>
      </top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2" applyFont="1" applyFill="1" applyBorder="1" applyAlignment="1" applyProtection="1">
      <alignment vertical="center" wrapText="1"/>
    </xf>
    <xf numFmtId="0" fontId="4" fillId="0" borderId="0" xfId="2" applyFont="1" applyFill="1" applyAlignment="1" applyProtection="1">
      <alignment horizontal="left" vertical="center"/>
    </xf>
    <xf numFmtId="0" fontId="4" fillId="0" borderId="0" xfId="2" applyFont="1" applyFill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1" fillId="0" borderId="0" xfId="2" applyFont="1" applyAlignment="1" applyProtection="1">
      <alignment vertical="center"/>
    </xf>
    <xf numFmtId="0" fontId="4" fillId="0" borderId="0" xfId="2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vertical="center" wrapText="1"/>
    </xf>
    <xf numFmtId="0" fontId="6" fillId="0" borderId="0" xfId="2" applyFont="1" applyBorder="1" applyAlignment="1" applyProtection="1">
      <alignment vertical="center"/>
    </xf>
    <xf numFmtId="0" fontId="4" fillId="0" borderId="0" xfId="2" applyFont="1" applyFill="1" applyBorder="1" applyAlignment="1" applyProtection="1">
      <alignment vertical="center"/>
    </xf>
    <xf numFmtId="166" fontId="2" fillId="3" borderId="2" xfId="5" applyNumberFormat="1" applyFont="1" applyFill="1" applyBorder="1" applyAlignment="1" applyProtection="1">
      <alignment horizontal="center" vertical="center"/>
      <protection locked="0"/>
    </xf>
    <xf numFmtId="39" fontId="8" fillId="0" borderId="2" xfId="3" quotePrefix="1" applyNumberFormat="1" applyFont="1" applyFill="1" applyBorder="1" applyAlignment="1" applyProtection="1">
      <alignment horizontal="right" vertical="center"/>
      <protection locked="0"/>
    </xf>
    <xf numFmtId="165" fontId="4" fillId="0" borderId="0" xfId="5" applyNumberFormat="1" applyFont="1" applyBorder="1" applyAlignment="1" applyProtection="1">
      <alignment vertical="center"/>
    </xf>
    <xf numFmtId="168" fontId="7" fillId="0" borderId="2" xfId="2" applyNumberFormat="1" applyFont="1" applyFill="1" applyBorder="1" applyAlignment="1" applyProtection="1">
      <alignment horizontal="right" vertical="center"/>
      <protection locked="0"/>
    </xf>
    <xf numFmtId="170" fontId="7" fillId="0" borderId="2" xfId="2" applyNumberFormat="1" applyFont="1" applyFill="1" applyBorder="1" applyAlignment="1" applyProtection="1">
      <alignment horizontal="right" vertical="center"/>
      <protection locked="0"/>
    </xf>
    <xf numFmtId="43" fontId="7" fillId="0" borderId="2" xfId="3" applyFont="1" applyFill="1" applyBorder="1" applyAlignment="1" applyProtection="1">
      <alignment horizontal="right" vertical="center"/>
      <protection locked="0"/>
    </xf>
    <xf numFmtId="0" fontId="1" fillId="0" borderId="0" xfId="2" applyFont="1" applyFill="1" applyAlignment="1" applyProtection="1">
      <alignment vertical="center"/>
    </xf>
    <xf numFmtId="39" fontId="7" fillId="0" borderId="2" xfId="3" applyNumberFormat="1" applyFont="1" applyFill="1" applyBorder="1" applyAlignment="1" applyProtection="1">
      <alignment horizontal="right" vertical="center"/>
      <protection locked="0"/>
    </xf>
    <xf numFmtId="14" fontId="7" fillId="0" borderId="8" xfId="3" applyNumberFormat="1" applyFont="1" applyFill="1" applyBorder="1" applyAlignment="1" applyProtection="1">
      <alignment horizontal="right" vertical="center"/>
      <protection locked="0"/>
    </xf>
    <xf numFmtId="43" fontId="4" fillId="0" borderId="0" xfId="3" applyFont="1" applyFill="1" applyBorder="1" applyAlignment="1" applyProtection="1">
      <alignment vertical="center"/>
    </xf>
    <xf numFmtId="0" fontId="1" fillId="0" borderId="0" xfId="2" applyFont="1" applyAlignment="1" applyProtection="1">
      <alignment vertical="center" wrapText="1"/>
    </xf>
    <xf numFmtId="0" fontId="4" fillId="3" borderId="2" xfId="2" applyFont="1" applyFill="1" applyBorder="1" applyAlignment="1" applyProtection="1">
      <alignment horizontal="left" vertical="center"/>
      <protection locked="0"/>
    </xf>
    <xf numFmtId="10" fontId="4" fillId="0" borderId="0" xfId="2" applyNumberFormat="1" applyFont="1" applyFill="1" applyBorder="1" applyAlignment="1" applyProtection="1">
      <alignment horizontal="left" vertical="center"/>
    </xf>
    <xf numFmtId="165" fontId="8" fillId="0" borderId="2" xfId="5" applyNumberFormat="1" applyFont="1" applyFill="1" applyBorder="1" applyAlignment="1" applyProtection="1">
      <alignment horizontal="right" vertical="center"/>
      <protection locked="0"/>
    </xf>
    <xf numFmtId="165" fontId="7" fillId="3" borderId="2" xfId="5" applyNumberFormat="1" applyFont="1" applyFill="1" applyBorder="1" applyAlignment="1" applyProtection="1">
      <alignment horizontal="right" vertical="center"/>
      <protection locked="0"/>
    </xf>
    <xf numFmtId="165" fontId="4" fillId="0" borderId="0" xfId="2" applyNumberFormat="1" applyFont="1" applyFill="1" applyAlignment="1" applyProtection="1">
      <alignment vertical="center"/>
    </xf>
    <xf numFmtId="165" fontId="4" fillId="0" borderId="0" xfId="6" applyNumberFormat="1" applyFont="1" applyFill="1" applyAlignment="1" applyProtection="1">
      <alignment vertical="center"/>
    </xf>
    <xf numFmtId="164" fontId="4" fillId="0" borderId="0" xfId="4" applyFont="1" applyAlignment="1" applyProtection="1">
      <alignment vertical="center"/>
    </xf>
    <xf numFmtId="0" fontId="4" fillId="0" borderId="0" xfId="2" applyFont="1" applyAlignment="1" applyProtection="1">
      <alignment horizontal="left" vertical="center"/>
    </xf>
    <xf numFmtId="0" fontId="1" fillId="0" borderId="0" xfId="2"/>
    <xf numFmtId="0" fontId="1" fillId="0" borderId="0" xfId="2" applyAlignment="1">
      <alignment vertical="center"/>
    </xf>
    <xf numFmtId="0" fontId="1" fillId="0" borderId="0" xfId="2" applyFont="1" applyAlignment="1">
      <alignment horizontal="right"/>
    </xf>
    <xf numFmtId="0" fontId="10" fillId="0" borderId="0" xfId="2" applyFont="1" applyAlignment="1">
      <alignment vertical="center"/>
    </xf>
    <xf numFmtId="0" fontId="3" fillId="3" borderId="0" xfId="2" applyFont="1" applyFill="1" applyAlignment="1">
      <alignment horizontal="center"/>
    </xf>
    <xf numFmtId="0" fontId="3" fillId="3" borderId="0" xfId="2" applyFont="1" applyFill="1"/>
    <xf numFmtId="0" fontId="0" fillId="0" borderId="0" xfId="2" applyFont="1"/>
    <xf numFmtId="0" fontId="0" fillId="0" borderId="0" xfId="2" applyFont="1" applyAlignment="1">
      <alignment horizontal="right"/>
    </xf>
    <xf numFmtId="0" fontId="11" fillId="0" borderId="0" xfId="2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left" vertical="center"/>
    </xf>
    <xf numFmtId="0" fontId="11" fillId="0" borderId="0" xfId="2" applyFont="1" applyAlignment="1" applyProtection="1">
      <alignment vertical="center"/>
    </xf>
    <xf numFmtId="0" fontId="12" fillId="0" borderId="0" xfId="2" applyFont="1" applyFill="1" applyAlignment="1" applyProtection="1">
      <alignment horizontal="left" vertical="center"/>
    </xf>
    <xf numFmtId="43" fontId="12" fillId="0" borderId="0" xfId="3" applyFont="1" applyFill="1" applyAlignment="1" applyProtection="1">
      <alignment vertical="center"/>
    </xf>
    <xf numFmtId="43" fontId="11" fillId="0" borderId="0" xfId="3" applyFont="1" applyAlignment="1" applyProtection="1">
      <alignment vertical="center"/>
    </xf>
    <xf numFmtId="0" fontId="11" fillId="0" borderId="0" xfId="2" applyFont="1" applyAlignment="1" applyProtection="1">
      <alignment horizontal="left" vertical="center"/>
    </xf>
    <xf numFmtId="43" fontId="11" fillId="0" borderId="0" xfId="3" applyFont="1" applyAlignment="1" applyProtection="1">
      <alignment horizontal="left" vertical="center"/>
    </xf>
    <xf numFmtId="8" fontId="11" fillId="0" borderId="0" xfId="3" applyNumberFormat="1" applyFont="1" applyAlignment="1" applyProtection="1">
      <alignment vertical="center"/>
    </xf>
    <xf numFmtId="165" fontId="7" fillId="0" borderId="8" xfId="1" applyNumberFormat="1" applyFont="1" applyFill="1" applyBorder="1" applyAlignment="1" applyProtection="1">
      <alignment horizontal="right" vertical="center"/>
      <protection locked="0"/>
    </xf>
    <xf numFmtId="0" fontId="11" fillId="0" borderId="0" xfId="2" applyNumberFormat="1" applyFont="1" applyFill="1" applyAlignment="1" applyProtection="1">
      <alignment horizontal="left" vertical="center"/>
    </xf>
    <xf numFmtId="0" fontId="11" fillId="0" borderId="0" xfId="2" applyNumberFormat="1" applyFont="1" applyFill="1" applyAlignment="1" applyProtection="1">
      <alignment vertical="center"/>
    </xf>
    <xf numFmtId="0" fontId="11" fillId="0" borderId="0" xfId="5" applyNumberFormat="1" applyFont="1" applyFill="1" applyAlignment="1" applyProtection="1">
      <alignment horizontal="left" vertical="center"/>
    </xf>
    <xf numFmtId="0" fontId="3" fillId="0" borderId="0" xfId="2" applyFont="1" applyFill="1" applyAlignment="1">
      <alignment horizontal="center"/>
    </xf>
    <xf numFmtId="0" fontId="0" fillId="0" borderId="0" xfId="2" applyFont="1" applyFill="1" applyAlignment="1">
      <alignment horizontal="right"/>
    </xf>
    <xf numFmtId="0" fontId="1" fillId="0" borderId="0" xfId="2" applyFont="1" applyFill="1" applyAlignment="1">
      <alignment horizontal="right"/>
    </xf>
    <xf numFmtId="0" fontId="1" fillId="0" borderId="0" xfId="2" applyFill="1"/>
    <xf numFmtId="0" fontId="6" fillId="0" borderId="0" xfId="2" applyFont="1" applyFill="1" applyBorder="1" applyAlignment="1" applyProtection="1">
      <alignment vertical="center"/>
      <protection hidden="1"/>
    </xf>
    <xf numFmtId="0" fontId="4" fillId="2" borderId="1" xfId="2" applyFont="1" applyFill="1" applyBorder="1" applyAlignment="1" applyProtection="1">
      <alignment horizontal="left" vertical="center"/>
      <protection hidden="1"/>
    </xf>
    <xf numFmtId="165" fontId="7" fillId="0" borderId="1" xfId="5" applyNumberFormat="1" applyFont="1" applyFill="1" applyBorder="1" applyAlignment="1" applyProtection="1">
      <alignment horizontal="right" vertical="center"/>
      <protection hidden="1"/>
    </xf>
    <xf numFmtId="10" fontId="7" fillId="0" borderId="1" xfId="5" applyNumberFormat="1" applyFont="1" applyFill="1" applyBorder="1" applyAlignment="1" applyProtection="1">
      <alignment horizontal="right" vertical="center"/>
      <protection hidden="1"/>
    </xf>
    <xf numFmtId="0" fontId="4" fillId="2" borderId="7" xfId="2" applyFont="1" applyFill="1" applyBorder="1" applyAlignment="1" applyProtection="1">
      <alignment horizontal="left" vertical="center"/>
      <protection hidden="1"/>
    </xf>
    <xf numFmtId="43" fontId="7" fillId="0" borderId="7" xfId="3" applyFont="1" applyFill="1" applyBorder="1" applyAlignment="1" applyProtection="1">
      <alignment horizontal="right" vertical="center"/>
      <protection hidden="1"/>
    </xf>
    <xf numFmtId="0" fontId="6" fillId="0" borderId="0" xfId="2" applyFont="1" applyBorder="1" applyAlignment="1" applyProtection="1">
      <alignment vertical="center"/>
      <protection hidden="1"/>
    </xf>
    <xf numFmtId="43" fontId="4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vertical="center"/>
      <protection hidden="1"/>
    </xf>
    <xf numFmtId="0" fontId="7" fillId="2" borderId="7" xfId="2" applyFont="1" applyFill="1" applyBorder="1" applyAlignment="1" applyProtection="1">
      <alignment horizontal="left" vertical="center"/>
      <protection hidden="1"/>
    </xf>
    <xf numFmtId="169" fontId="7" fillId="0" borderId="7" xfId="5" applyNumberFormat="1" applyFont="1" applyFill="1" applyBorder="1" applyAlignment="1" applyProtection="1">
      <alignment vertical="center"/>
      <protection hidden="1"/>
    </xf>
    <xf numFmtId="171" fontId="7" fillId="0" borderId="7" xfId="2" applyNumberFormat="1" applyFont="1" applyFill="1" applyBorder="1" applyAlignment="1" applyProtection="1">
      <alignment vertical="center"/>
      <protection hidden="1"/>
    </xf>
    <xf numFmtId="0" fontId="2" fillId="3" borderId="2" xfId="2" applyFont="1" applyFill="1" applyBorder="1" applyAlignment="1" applyProtection="1">
      <alignment horizontal="left" vertical="center"/>
      <protection hidden="1"/>
    </xf>
    <xf numFmtId="0" fontId="4" fillId="3" borderId="2" xfId="2" applyFont="1" applyFill="1" applyBorder="1" applyAlignment="1" applyProtection="1">
      <alignment horizontal="left" vertical="center"/>
      <protection hidden="1"/>
    </xf>
    <xf numFmtId="164" fontId="7" fillId="3" borderId="2" xfId="4" applyFont="1" applyFill="1" applyBorder="1" applyAlignment="1" applyProtection="1">
      <alignment horizontal="right" vertical="center"/>
      <protection hidden="1"/>
    </xf>
    <xf numFmtId="164" fontId="8" fillId="3" borderId="2" xfId="4" applyFont="1" applyFill="1" applyBorder="1" applyAlignment="1" applyProtection="1">
      <alignment horizontal="right" vertical="center"/>
      <protection hidden="1"/>
    </xf>
    <xf numFmtId="173" fontId="7" fillId="3" borderId="2" xfId="2" applyNumberFormat="1" applyFont="1" applyFill="1" applyBorder="1" applyAlignment="1" applyProtection="1">
      <alignment horizontal="right" vertical="center"/>
      <protection hidden="1"/>
    </xf>
    <xf numFmtId="168" fontId="7" fillId="0" borderId="2" xfId="2" applyNumberFormat="1" applyFont="1" applyFill="1" applyBorder="1" applyAlignment="1" applyProtection="1">
      <alignment horizontal="right" vertical="center"/>
      <protection hidden="1"/>
    </xf>
    <xf numFmtId="4" fontId="7" fillId="0" borderId="2" xfId="2" applyNumberFormat="1" applyFont="1" applyFill="1" applyBorder="1" applyAlignment="1" applyProtection="1">
      <alignment horizontal="right" vertical="center"/>
      <protection hidden="1"/>
    </xf>
    <xf numFmtId="0" fontId="7" fillId="0" borderId="2" xfId="2" applyNumberFormat="1" applyFont="1" applyFill="1" applyBorder="1" applyAlignment="1" applyProtection="1">
      <alignment horizontal="right" vertical="center"/>
      <protection hidden="1"/>
    </xf>
    <xf numFmtId="0" fontId="1" fillId="0" borderId="0" xfId="2" applyFont="1" applyAlignment="1" applyProtection="1">
      <alignment vertical="center"/>
      <protection hidden="1"/>
    </xf>
    <xf numFmtId="173" fontId="7" fillId="3" borderId="9" xfId="3" applyNumberFormat="1" applyFont="1" applyFill="1" applyBorder="1" applyAlignment="1" applyProtection="1">
      <alignment horizontal="right" vertical="center"/>
      <protection hidden="1"/>
    </xf>
    <xf numFmtId="0" fontId="7" fillId="3" borderId="10" xfId="2" applyFont="1" applyFill="1" applyBorder="1" applyAlignment="1" applyProtection="1">
      <alignment horizontal="center" vertical="center"/>
      <protection hidden="1"/>
    </xf>
    <xf numFmtId="169" fontId="7" fillId="3" borderId="9" xfId="5" applyNumberFormat="1" applyFont="1" applyFill="1" applyBorder="1" applyAlignment="1" applyProtection="1">
      <alignment vertical="center"/>
      <protection hidden="1"/>
    </xf>
    <xf numFmtId="0" fontId="7" fillId="3" borderId="10" xfId="2" applyFont="1" applyFill="1" applyBorder="1" applyAlignment="1" applyProtection="1">
      <alignment horizontal="left" vertical="center"/>
      <protection hidden="1"/>
    </xf>
    <xf numFmtId="171" fontId="7" fillId="3" borderId="9" xfId="2" applyNumberFormat="1" applyFont="1" applyFill="1" applyBorder="1" applyAlignment="1" applyProtection="1">
      <alignment vertical="center"/>
      <protection hidden="1"/>
    </xf>
    <xf numFmtId="169" fontId="7" fillId="3" borderId="9" xfId="2" applyNumberFormat="1" applyFont="1" applyFill="1" applyBorder="1" applyAlignment="1" applyProtection="1">
      <alignment vertical="center"/>
      <protection hidden="1"/>
    </xf>
    <xf numFmtId="168" fontId="7" fillId="3" borderId="2" xfId="2" applyNumberFormat="1" applyFont="1" applyFill="1" applyBorder="1" applyAlignment="1" applyProtection="1">
      <alignment horizontal="right" vertical="center"/>
      <protection hidden="1"/>
    </xf>
    <xf numFmtId="0" fontId="1" fillId="0" borderId="0" xfId="2" applyFont="1" applyFill="1" applyAlignment="1" applyProtection="1">
      <alignment vertical="center"/>
      <protection hidden="1"/>
    </xf>
    <xf numFmtId="10" fontId="7" fillId="3" borderId="2" xfId="5" applyNumberFormat="1" applyFont="1" applyFill="1" applyBorder="1" applyAlignment="1" applyProtection="1">
      <alignment horizontal="right"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4" fillId="0" borderId="0" xfId="2" applyFont="1" applyBorder="1" applyAlignment="1" applyProtection="1">
      <alignment horizontal="center" vertical="center"/>
      <protection hidden="1"/>
    </xf>
    <xf numFmtId="43" fontId="4" fillId="0" borderId="0" xfId="3" applyFont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4" fillId="0" borderId="0" xfId="2" applyFont="1" applyAlignment="1" applyProtection="1">
      <alignment horizontal="center" vertical="center"/>
      <protection hidden="1"/>
    </xf>
    <xf numFmtId="167" fontId="7" fillId="0" borderId="0" xfId="2" applyNumberFormat="1" applyFont="1" applyFill="1" applyBorder="1" applyAlignment="1" applyProtection="1">
      <alignment horizontal="center" vertical="center"/>
      <protection hidden="1"/>
    </xf>
    <xf numFmtId="10" fontId="7" fillId="0" borderId="0" xfId="6" applyNumberFormat="1" applyFont="1" applyFill="1" applyBorder="1" applyAlignment="1" applyProtection="1">
      <alignment horizontal="center" vertical="center"/>
      <protection hidden="1"/>
    </xf>
    <xf numFmtId="0" fontId="8" fillId="0" borderId="3" xfId="2" applyFont="1" applyBorder="1" applyAlignment="1" applyProtection="1">
      <alignment vertical="center"/>
      <protection hidden="1"/>
    </xf>
    <xf numFmtId="0" fontId="4" fillId="0" borderId="3" xfId="2" applyFont="1" applyBorder="1" applyAlignment="1" applyProtection="1">
      <alignment horizontal="center" vertical="center"/>
      <protection hidden="1"/>
    </xf>
    <xf numFmtId="0" fontId="4" fillId="0" borderId="3" xfId="2" applyFont="1" applyBorder="1" applyAlignment="1" applyProtection="1">
      <alignment vertical="center"/>
      <protection hidden="1"/>
    </xf>
    <xf numFmtId="43" fontId="4" fillId="0" borderId="3" xfId="3" applyFont="1" applyBorder="1" applyAlignment="1" applyProtection="1">
      <alignment vertical="center"/>
      <protection hidden="1"/>
    </xf>
    <xf numFmtId="0" fontId="7" fillId="0" borderId="4" xfId="2" applyFont="1" applyBorder="1" applyAlignment="1" applyProtection="1">
      <alignment horizontal="left" vertical="center"/>
      <protection hidden="1"/>
    </xf>
    <xf numFmtId="164" fontId="7" fillId="0" borderId="4" xfId="4" applyFont="1" applyBorder="1" applyAlignment="1" applyProtection="1">
      <alignment horizontal="left" vertical="center"/>
      <protection hidden="1"/>
    </xf>
    <xf numFmtId="169" fontId="7" fillId="0" borderId="4" xfId="6" applyNumberFormat="1" applyFont="1" applyBorder="1" applyAlignment="1" applyProtection="1">
      <alignment vertical="center"/>
      <protection hidden="1"/>
    </xf>
    <xf numFmtId="0" fontId="7" fillId="0" borderId="5" xfId="2" applyFont="1" applyBorder="1" applyAlignment="1" applyProtection="1">
      <alignment horizontal="left" vertical="center"/>
      <protection hidden="1"/>
    </xf>
    <xf numFmtId="170" fontId="7" fillId="0" borderId="5" xfId="2" applyNumberFormat="1" applyFont="1" applyBorder="1" applyAlignment="1" applyProtection="1">
      <alignment horizontal="right" vertical="center"/>
      <protection hidden="1"/>
    </xf>
    <xf numFmtId="171" fontId="7" fillId="0" borderId="4" xfId="6" applyNumberFormat="1" applyFont="1" applyBorder="1" applyAlignment="1" applyProtection="1">
      <alignment vertical="center"/>
      <protection hidden="1"/>
    </xf>
    <xf numFmtId="0" fontId="7" fillId="0" borderId="5" xfId="2" applyFont="1" applyBorder="1" applyAlignment="1" applyProtection="1">
      <alignment horizontal="right" vertical="center"/>
      <protection hidden="1"/>
    </xf>
    <xf numFmtId="0" fontId="7" fillId="0" borderId="6" xfId="2" applyFont="1" applyBorder="1" applyAlignment="1" applyProtection="1">
      <alignment horizontal="left" vertical="center"/>
      <protection hidden="1"/>
    </xf>
    <xf numFmtId="0" fontId="4" fillId="0" borderId="0" xfId="2" applyFont="1" applyAlignment="1" applyProtection="1">
      <alignment horizontal="right" vertical="center"/>
      <protection hidden="1"/>
    </xf>
    <xf numFmtId="0" fontId="2" fillId="3" borderId="2" xfId="2" applyFont="1" applyFill="1" applyBorder="1" applyAlignment="1" applyProtection="1">
      <alignment horizontal="center" vertical="center" wrapText="1"/>
      <protection hidden="1"/>
    </xf>
    <xf numFmtId="0" fontId="2" fillId="3" borderId="9" xfId="2" applyFont="1" applyFill="1" applyBorder="1" applyAlignment="1" applyProtection="1">
      <alignment horizontal="center" vertical="center" wrapText="1"/>
      <protection hidden="1"/>
    </xf>
    <xf numFmtId="0" fontId="0" fillId="0" borderId="0" xfId="2" applyFont="1" applyAlignment="1" applyProtection="1">
      <alignment horizontal="right" vertical="center"/>
      <protection hidden="1"/>
    </xf>
    <xf numFmtId="0" fontId="4" fillId="0" borderId="2" xfId="2" applyFont="1" applyFill="1" applyBorder="1" applyAlignment="1" applyProtection="1">
      <alignment horizontal="center" vertical="center"/>
      <protection hidden="1"/>
    </xf>
    <xf numFmtId="172" fontId="4" fillId="0" borderId="9" xfId="2" applyNumberFormat="1" applyFont="1" applyFill="1" applyBorder="1" applyAlignment="1" applyProtection="1">
      <alignment horizontal="center" vertical="center"/>
      <protection hidden="1"/>
    </xf>
    <xf numFmtId="43" fontId="4" fillId="0" borderId="2" xfId="3" applyFont="1" applyFill="1" applyBorder="1" applyAlignment="1" applyProtection="1">
      <alignment vertical="center"/>
      <protection hidden="1"/>
    </xf>
    <xf numFmtId="39" fontId="2" fillId="0" borderId="2" xfId="3" applyNumberFormat="1" applyFont="1" applyFill="1" applyBorder="1" applyAlignment="1" applyProtection="1">
      <alignment vertical="center"/>
      <protection hidden="1"/>
    </xf>
    <xf numFmtId="0" fontId="7" fillId="0" borderId="0" xfId="2" applyFont="1" applyAlignment="1" applyProtection="1">
      <alignment horizontal="right" vertical="center"/>
      <protection hidden="1"/>
    </xf>
    <xf numFmtId="39" fontId="4" fillId="0" borderId="2" xfId="3" applyNumberFormat="1" applyFont="1" applyFill="1" applyBorder="1" applyAlignment="1" applyProtection="1">
      <alignment vertical="center"/>
      <protection hidden="1"/>
    </xf>
    <xf numFmtId="8" fontId="1" fillId="0" borderId="0" xfId="2" applyNumberFormat="1" applyFont="1" applyAlignment="1" applyProtection="1">
      <alignment vertical="center"/>
      <protection hidden="1"/>
    </xf>
    <xf numFmtId="0" fontId="11" fillId="0" borderId="0" xfId="2" applyFont="1" applyAlignment="1" applyProtection="1">
      <alignment vertical="center"/>
      <protection hidden="1"/>
    </xf>
    <xf numFmtId="43" fontId="11" fillId="0" borderId="0" xfId="3" applyFont="1" applyAlignment="1" applyProtection="1">
      <alignment vertical="center"/>
      <protection hidden="1"/>
    </xf>
    <xf numFmtId="4" fontId="1" fillId="0" borderId="0" xfId="2" applyNumberFormat="1" applyFont="1" applyAlignment="1" applyProtection="1">
      <alignment vertical="center"/>
    </xf>
    <xf numFmtId="0" fontId="4" fillId="0" borderId="0" xfId="2" applyFont="1" applyAlignment="1" applyProtection="1">
      <alignment vertical="center" wrapText="1"/>
    </xf>
    <xf numFmtId="0" fontId="1" fillId="3" borderId="12" xfId="2" applyFont="1" applyFill="1" applyBorder="1" applyAlignment="1" applyProtection="1">
      <alignment vertical="center"/>
    </xf>
    <xf numFmtId="0" fontId="1" fillId="3" borderId="13" xfId="2" applyFont="1" applyFill="1" applyBorder="1" applyAlignment="1" applyProtection="1">
      <alignment vertical="center"/>
    </xf>
    <xf numFmtId="0" fontId="1" fillId="0" borderId="12" xfId="2" applyFont="1" applyBorder="1" applyAlignment="1" applyProtection="1">
      <alignment vertical="center" wrapText="1"/>
    </xf>
    <xf numFmtId="0" fontId="4" fillId="0" borderId="0" xfId="2" applyFont="1" applyBorder="1" applyAlignment="1" applyProtection="1">
      <alignment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1" fillId="0" borderId="13" xfId="2" applyFont="1" applyBorder="1" applyAlignment="1" applyProtection="1">
      <alignment vertical="center" wrapText="1"/>
    </xf>
    <xf numFmtId="0" fontId="4" fillId="3" borderId="9" xfId="2" applyFont="1" applyFill="1" applyBorder="1" applyAlignment="1" applyProtection="1">
      <alignment horizontal="left" vertical="center"/>
    </xf>
    <xf numFmtId="0" fontId="4" fillId="3" borderId="10" xfId="2" applyFont="1" applyFill="1" applyBorder="1" applyAlignment="1" applyProtection="1">
      <alignment horizontal="left" vertical="center"/>
    </xf>
    <xf numFmtId="0" fontId="4" fillId="0" borderId="11" xfId="2" applyFont="1" applyBorder="1" applyAlignment="1" applyProtection="1">
      <alignment vertical="center" wrapText="1"/>
    </xf>
    <xf numFmtId="0" fontId="4" fillId="0" borderId="11" xfId="2" applyFont="1" applyBorder="1" applyAlignment="1" applyProtection="1">
      <alignment horizontal="center" vertical="center" wrapText="1"/>
    </xf>
    <xf numFmtId="0" fontId="1" fillId="0" borderId="12" xfId="2" applyFont="1" applyBorder="1" applyAlignment="1" applyProtection="1">
      <alignment vertical="center"/>
    </xf>
    <xf numFmtId="0" fontId="2" fillId="3" borderId="9" xfId="2" applyFont="1" applyFill="1" applyBorder="1" applyAlignment="1" applyProtection="1">
      <alignment horizontal="left" vertical="center"/>
    </xf>
    <xf numFmtId="43" fontId="2" fillId="0" borderId="2" xfId="3" applyFont="1" applyFill="1" applyBorder="1" applyAlignment="1" applyProtection="1">
      <alignment horizontal="right" vertical="center"/>
    </xf>
    <xf numFmtId="43" fontId="4" fillId="0" borderId="2" xfId="3" applyFont="1" applyFill="1" applyBorder="1" applyAlignment="1" applyProtection="1">
      <alignment horizontal="right" vertical="center"/>
    </xf>
    <xf numFmtId="0" fontId="1" fillId="0" borderId="13" xfId="2" applyFont="1" applyBorder="1" applyAlignment="1" applyProtection="1">
      <alignment vertical="center"/>
    </xf>
    <xf numFmtId="174" fontId="4" fillId="3" borderId="9" xfId="2" applyNumberFormat="1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left" vertical="center"/>
    </xf>
    <xf numFmtId="43" fontId="2" fillId="0" borderId="0" xfId="3" applyFont="1" applyFill="1" applyBorder="1" applyAlignment="1" applyProtection="1">
      <alignment horizontal="right" vertical="center"/>
    </xf>
    <xf numFmtId="43" fontId="2" fillId="3" borderId="2" xfId="3" applyFont="1" applyFill="1" applyBorder="1" applyAlignment="1" applyProtection="1">
      <alignment horizontal="center" vertical="center"/>
    </xf>
    <xf numFmtId="0" fontId="4" fillId="0" borderId="2" xfId="3" applyNumberFormat="1" applyFont="1" applyFill="1" applyBorder="1" applyAlignment="1" applyProtection="1">
      <alignment horizontal="right" vertical="center"/>
    </xf>
    <xf numFmtId="0" fontId="1" fillId="0" borderId="12" xfId="2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horizontal="center" vertical="center"/>
    </xf>
    <xf numFmtId="0" fontId="1" fillId="0" borderId="13" xfId="2" applyFont="1" applyFill="1" applyBorder="1" applyAlignment="1" applyProtection="1">
      <alignment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43" fontId="4" fillId="0" borderId="2" xfId="3" applyFont="1" applyFill="1" applyBorder="1" applyAlignment="1" applyProtection="1">
      <alignment horizontal="center" vertical="center"/>
    </xf>
    <xf numFmtId="10" fontId="4" fillId="0" borderId="2" xfId="3" applyNumberFormat="1" applyFont="1" applyFill="1" applyBorder="1" applyAlignment="1" applyProtection="1">
      <alignment horizontal="right" vertical="center"/>
    </xf>
    <xf numFmtId="168" fontId="4" fillId="0" borderId="2" xfId="2" applyNumberFormat="1" applyFont="1" applyFill="1" applyBorder="1" applyAlignment="1" applyProtection="1">
      <alignment horizontal="right" vertical="center"/>
    </xf>
    <xf numFmtId="0" fontId="4" fillId="0" borderId="11" xfId="2" applyFont="1" applyBorder="1" applyAlignment="1" applyProtection="1">
      <alignment vertical="center"/>
    </xf>
    <xf numFmtId="0" fontId="4" fillId="0" borderId="11" xfId="2" applyFont="1" applyBorder="1" applyAlignment="1" applyProtection="1">
      <alignment horizontal="center" vertical="center"/>
    </xf>
    <xf numFmtId="43" fontId="2" fillId="0" borderId="2" xfId="3" applyFont="1" applyFill="1" applyBorder="1" applyAlignment="1" applyProtection="1">
      <alignment horizontal="center" vertical="center"/>
    </xf>
    <xf numFmtId="0" fontId="1" fillId="0" borderId="14" xfId="2" applyFont="1" applyBorder="1" applyAlignment="1" applyProtection="1">
      <alignment vertical="center"/>
    </xf>
    <xf numFmtId="0" fontId="4" fillId="0" borderId="3" xfId="2" applyFont="1" applyBorder="1" applyAlignment="1" applyProtection="1">
      <alignment vertical="center"/>
    </xf>
    <xf numFmtId="0" fontId="4" fillId="0" borderId="3" xfId="2" applyFont="1" applyBorder="1" applyAlignment="1" applyProtection="1">
      <alignment horizontal="center" vertical="center"/>
    </xf>
    <xf numFmtId="0" fontId="1" fillId="0" borderId="15" xfId="2" applyFont="1" applyBorder="1" applyAlignment="1" applyProtection="1">
      <alignment vertical="center"/>
    </xf>
    <xf numFmtId="0" fontId="4" fillId="0" borderId="0" xfId="2" applyFont="1" applyAlignment="1" applyProtection="1">
      <alignment horizontal="center" vertical="center"/>
    </xf>
    <xf numFmtId="0" fontId="1" fillId="0" borderId="0" xfId="2" applyFont="1"/>
    <xf numFmtId="164" fontId="1" fillId="0" borderId="0" xfId="4" applyFont="1"/>
    <xf numFmtId="1" fontId="1" fillId="0" borderId="0" xfId="4" applyNumberFormat="1" applyFont="1"/>
    <xf numFmtId="0" fontId="5" fillId="0" borderId="0" xfId="8"/>
    <xf numFmtId="0" fontId="5" fillId="0" borderId="0" xfId="8" applyFont="1" applyAlignment="1">
      <alignment horizontal="right"/>
    </xf>
    <xf numFmtId="1" fontId="1" fillId="0" borderId="0" xfId="2" applyNumberFormat="1" applyFont="1" applyAlignment="1">
      <alignment horizontal="right"/>
    </xf>
    <xf numFmtId="9" fontId="1" fillId="0" borderId="0" xfId="6" applyFont="1"/>
    <xf numFmtId="0" fontId="5" fillId="0" borderId="0" xfId="8" applyAlignment="1">
      <alignment horizontal="right"/>
    </xf>
    <xf numFmtId="0" fontId="1" fillId="0" borderId="0" xfId="2" applyAlignment="1">
      <alignment horizontal="right"/>
    </xf>
    <xf numFmtId="165" fontId="4" fillId="0" borderId="0" xfId="1" applyNumberFormat="1" applyFont="1" applyFill="1" applyAlignment="1" applyProtection="1">
      <alignment vertical="center"/>
    </xf>
    <xf numFmtId="165" fontId="11" fillId="0" borderId="0" xfId="1" applyNumberFormat="1" applyFont="1" applyAlignment="1" applyProtection="1">
      <alignment vertical="center"/>
    </xf>
    <xf numFmtId="165" fontId="0" fillId="0" borderId="0" xfId="1" applyNumberFormat="1" applyFont="1" applyAlignment="1" applyProtection="1">
      <alignment vertical="center"/>
    </xf>
    <xf numFmtId="165" fontId="1" fillId="0" borderId="0" xfId="1" applyNumberFormat="1" applyFont="1" applyAlignment="1" applyProtection="1">
      <alignment vertical="center"/>
    </xf>
    <xf numFmtId="0" fontId="8" fillId="0" borderId="0" xfId="2" applyFont="1" applyBorder="1" applyAlignment="1" applyProtection="1">
      <alignment horizontal="center" vertical="center"/>
    </xf>
    <xf numFmtId="43" fontId="4" fillId="3" borderId="9" xfId="3" applyFont="1" applyFill="1" applyBorder="1" applyAlignment="1" applyProtection="1">
      <alignment vertical="center"/>
    </xf>
    <xf numFmtId="43" fontId="4" fillId="3" borderId="18" xfId="3" applyFont="1" applyFill="1" applyBorder="1" applyAlignment="1" applyProtection="1">
      <alignment vertical="center"/>
    </xf>
    <xf numFmtId="0" fontId="4" fillId="3" borderId="21" xfId="2" applyFont="1" applyFill="1" applyBorder="1" applyAlignment="1" applyProtection="1">
      <alignment horizontal="left" vertical="center"/>
    </xf>
    <xf numFmtId="0" fontId="4" fillId="3" borderId="3" xfId="2" applyFont="1" applyFill="1" applyBorder="1" applyAlignment="1" applyProtection="1">
      <alignment horizontal="left" vertical="center"/>
    </xf>
    <xf numFmtId="0" fontId="3" fillId="0" borderId="0" xfId="2" applyFont="1" applyAlignment="1" applyProtection="1">
      <alignment vertical="center"/>
    </xf>
    <xf numFmtId="43" fontId="7" fillId="0" borderId="2" xfId="3" applyFont="1" applyFill="1" applyBorder="1" applyAlignment="1" applyProtection="1">
      <alignment horizontal="right" vertical="center" wrapText="1"/>
      <protection locked="0"/>
    </xf>
    <xf numFmtId="164" fontId="2" fillId="3" borderId="2" xfId="13" applyNumberFormat="1" applyFont="1" applyFill="1" applyBorder="1" applyAlignment="1" applyProtection="1">
      <alignment horizontal="right" vertical="center"/>
    </xf>
    <xf numFmtId="0" fontId="10" fillId="0" borderId="0" xfId="2" applyFont="1"/>
    <xf numFmtId="43" fontId="1" fillId="0" borderId="0" xfId="2" applyNumberFormat="1" applyFont="1" applyAlignment="1" applyProtection="1">
      <alignment vertical="center"/>
    </xf>
    <xf numFmtId="14" fontId="8" fillId="0" borderId="5" xfId="2" applyNumberFormat="1" applyFont="1" applyBorder="1" applyAlignment="1" applyProtection="1">
      <alignment horizontal="left" vertical="center"/>
      <protection hidden="1"/>
    </xf>
    <xf numFmtId="0" fontId="8" fillId="0" borderId="4" xfId="2" applyFont="1" applyBorder="1" applyAlignment="1" applyProtection="1">
      <alignment horizontal="left" vertical="center"/>
      <protection hidden="1"/>
    </xf>
    <xf numFmtId="0" fontId="8" fillId="0" borderId="5" xfId="2" applyFont="1" applyBorder="1" applyAlignment="1" applyProtection="1">
      <alignment horizontal="left" vertical="center"/>
      <protection hidden="1"/>
    </xf>
    <xf numFmtId="0" fontId="8" fillId="0" borderId="4" xfId="2" applyFont="1" applyBorder="1" applyAlignment="1" applyProtection="1">
      <alignment horizontal="left" vertical="center"/>
      <protection locked="0"/>
    </xf>
    <xf numFmtId="14" fontId="8" fillId="0" borderId="5" xfId="2" applyNumberFormat="1" applyFont="1" applyBorder="1" applyAlignment="1" applyProtection="1">
      <alignment horizontal="left" vertical="center"/>
      <protection locked="0"/>
    </xf>
    <xf numFmtId="4" fontId="8" fillId="3" borderId="2" xfId="5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/>
    <xf numFmtId="165" fontId="7" fillId="0" borderId="2" xfId="5" applyNumberFormat="1" applyFont="1" applyFill="1" applyBorder="1" applyAlignment="1" applyProtection="1">
      <alignment horizontal="right" vertical="center"/>
      <protection hidden="1"/>
    </xf>
    <xf numFmtId="43" fontId="8" fillId="0" borderId="2" xfId="3" applyFont="1" applyFill="1" applyBorder="1" applyAlignment="1" applyProtection="1">
      <alignment horizontal="right" vertical="center"/>
      <protection hidden="1"/>
    </xf>
    <xf numFmtId="168" fontId="7" fillId="0" borderId="2" xfId="2" applyNumberFormat="1" applyFont="1" applyFill="1" applyBorder="1" applyAlignment="1" applyProtection="1">
      <alignment horizontal="right" vertical="center"/>
      <protection locked="0" hidden="1"/>
    </xf>
    <xf numFmtId="165" fontId="1" fillId="0" borderId="0" xfId="2" applyNumberFormat="1" applyFont="1" applyAlignment="1" applyProtection="1">
      <alignment vertical="center"/>
    </xf>
    <xf numFmtId="165" fontId="7" fillId="0" borderId="0" xfId="1" applyNumberFormat="1" applyFont="1" applyFill="1" applyBorder="1" applyAlignment="1" applyProtection="1">
      <alignment vertical="center"/>
      <protection hidden="1"/>
    </xf>
    <xf numFmtId="0" fontId="16" fillId="5" borderId="24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3" fillId="0" borderId="0" xfId="0" applyFont="1"/>
    <xf numFmtId="0" fontId="15" fillId="0" borderId="0" xfId="0" applyFont="1"/>
    <xf numFmtId="0" fontId="14" fillId="6" borderId="31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Border="1"/>
    <xf numFmtId="0" fontId="2" fillId="4" borderId="2" xfId="2" applyFont="1" applyFill="1" applyBorder="1" applyAlignment="1" applyProtection="1">
      <alignment horizontal="center" vertical="center"/>
      <protection hidden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wrapText="1"/>
    </xf>
    <xf numFmtId="0" fontId="3" fillId="6" borderId="37" xfId="0" applyFont="1" applyFill="1" applyBorder="1" applyAlignment="1">
      <alignment horizontal="center" wrapText="1"/>
    </xf>
    <xf numFmtId="0" fontId="3" fillId="6" borderId="38" xfId="0" applyFont="1" applyFill="1" applyBorder="1" applyAlignment="1">
      <alignment horizontal="center" wrapText="1"/>
    </xf>
    <xf numFmtId="10" fontId="3" fillId="0" borderId="33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2" fillId="6" borderId="30" xfId="0" applyFont="1" applyFill="1" applyBorder="1" applyAlignment="1">
      <alignment horizontal="center"/>
    </xf>
    <xf numFmtId="0" fontId="22" fillId="6" borderId="29" xfId="0" applyFont="1" applyFill="1" applyBorder="1" applyAlignment="1">
      <alignment horizontal="center"/>
    </xf>
    <xf numFmtId="0" fontId="22" fillId="6" borderId="28" xfId="0" applyFont="1" applyFill="1" applyBorder="1" applyAlignment="1">
      <alignment horizontal="center"/>
    </xf>
    <xf numFmtId="165" fontId="4" fillId="0" borderId="9" xfId="6" applyNumberFormat="1" applyFont="1" applyFill="1" applyBorder="1" applyAlignment="1" applyProtection="1">
      <alignment horizontal="right" vertical="center"/>
    </xf>
    <xf numFmtId="165" fontId="4" fillId="0" borderId="10" xfId="6" applyNumberFormat="1" applyFont="1" applyFill="1" applyBorder="1" applyAlignment="1" applyProtection="1">
      <alignment horizontal="right" vertical="center"/>
    </xf>
    <xf numFmtId="171" fontId="4" fillId="0" borderId="9" xfId="3" applyNumberFormat="1" applyFont="1" applyFill="1" applyBorder="1" applyAlignment="1" applyProtection="1">
      <alignment horizontal="right" vertical="center"/>
    </xf>
    <xf numFmtId="171" fontId="4" fillId="0" borderId="10" xfId="3" applyNumberFormat="1" applyFont="1" applyFill="1" applyBorder="1" applyAlignment="1" applyProtection="1">
      <alignment horizontal="right" vertical="center"/>
    </xf>
    <xf numFmtId="169" fontId="4" fillId="0" borderId="9" xfId="3" applyNumberFormat="1" applyFont="1" applyFill="1" applyBorder="1" applyAlignment="1" applyProtection="1">
      <alignment horizontal="right" vertical="center"/>
    </xf>
    <xf numFmtId="169" fontId="4" fillId="0" borderId="10" xfId="3" applyNumberFormat="1" applyFont="1" applyFill="1" applyBorder="1" applyAlignment="1" applyProtection="1">
      <alignment horizontal="right" vertical="center"/>
    </xf>
    <xf numFmtId="175" fontId="4" fillId="0" borderId="9" xfId="3" applyNumberFormat="1" applyFont="1" applyFill="1" applyBorder="1" applyAlignment="1" applyProtection="1">
      <alignment horizontal="right" vertical="center"/>
    </xf>
    <xf numFmtId="175" fontId="4" fillId="0" borderId="10" xfId="3" applyNumberFormat="1" applyFont="1" applyFill="1" applyBorder="1" applyAlignment="1" applyProtection="1">
      <alignment horizontal="right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43" fontId="2" fillId="0" borderId="9" xfId="3" applyFont="1" applyFill="1" applyBorder="1" applyAlignment="1" applyProtection="1">
      <alignment horizontal="left" vertical="center"/>
    </xf>
    <xf numFmtId="43" fontId="2" fillId="0" borderId="16" xfId="3" applyFont="1" applyFill="1" applyBorder="1" applyAlignment="1" applyProtection="1">
      <alignment horizontal="left" vertical="center"/>
    </xf>
    <xf numFmtId="43" fontId="2" fillId="0" borderId="10" xfId="3" applyFont="1" applyFill="1" applyBorder="1" applyAlignment="1" applyProtection="1">
      <alignment horizontal="left" vertical="center"/>
    </xf>
    <xf numFmtId="44" fontId="2" fillId="0" borderId="18" xfId="9" applyFont="1" applyFill="1" applyBorder="1" applyAlignment="1" applyProtection="1">
      <alignment horizontal="left" vertical="center"/>
    </xf>
    <xf numFmtId="44" fontId="2" fillId="0" borderId="19" xfId="9" applyFont="1" applyFill="1" applyBorder="1" applyAlignment="1" applyProtection="1">
      <alignment horizontal="left" vertical="center"/>
    </xf>
    <xf numFmtId="44" fontId="2" fillId="0" borderId="20" xfId="9" applyFont="1" applyFill="1" applyBorder="1" applyAlignment="1" applyProtection="1">
      <alignment horizontal="left" vertical="center"/>
    </xf>
    <xf numFmtId="43" fontId="4" fillId="0" borderId="14" xfId="3" applyFont="1" applyFill="1" applyBorder="1" applyAlignment="1" applyProtection="1">
      <alignment horizontal="left" vertical="center"/>
    </xf>
    <xf numFmtId="43" fontId="4" fillId="0" borderId="15" xfId="3" applyFont="1" applyFill="1" applyBorder="1" applyAlignment="1" applyProtection="1">
      <alignment horizontal="left" vertical="center"/>
    </xf>
    <xf numFmtId="0" fontId="2" fillId="3" borderId="0" xfId="2" applyFont="1" applyFill="1" applyBorder="1" applyAlignment="1" applyProtection="1">
      <alignment horizontal="center" vertical="center"/>
    </xf>
    <xf numFmtId="9" fontId="2" fillId="0" borderId="22" xfId="6" applyFont="1" applyFill="1" applyBorder="1" applyAlignment="1" applyProtection="1">
      <alignment horizontal="center" vertical="center"/>
    </xf>
    <xf numFmtId="9" fontId="2" fillId="0" borderId="23" xfId="6" applyFont="1" applyFill="1" applyBorder="1" applyAlignment="1" applyProtection="1">
      <alignment horizontal="center" vertical="center"/>
    </xf>
    <xf numFmtId="9" fontId="2" fillId="0" borderId="17" xfId="6" applyFont="1" applyFill="1" applyBorder="1" applyAlignment="1" applyProtection="1">
      <alignment horizontal="center" vertical="center"/>
    </xf>
    <xf numFmtId="43" fontId="4" fillId="0" borderId="17" xfId="3" applyFont="1" applyFill="1" applyBorder="1" applyAlignment="1" applyProtection="1">
      <alignment horizontal="center" vertical="center"/>
    </xf>
    <xf numFmtId="43" fontId="4" fillId="0" borderId="9" xfId="3" applyFont="1" applyFill="1" applyBorder="1" applyAlignment="1" applyProtection="1">
      <alignment horizontal="center" vertical="center"/>
    </xf>
    <xf numFmtId="43" fontId="4" fillId="0" borderId="10" xfId="3" applyFont="1" applyFill="1" applyBorder="1" applyAlignment="1" applyProtection="1">
      <alignment horizontal="center" vertical="center"/>
    </xf>
    <xf numFmtId="43" fontId="2" fillId="0" borderId="9" xfId="3" applyFont="1" applyFill="1" applyBorder="1" applyAlignment="1" applyProtection="1">
      <alignment horizontal="center" vertical="center"/>
    </xf>
    <xf numFmtId="43" fontId="2" fillId="0" borderId="10" xfId="3" applyFont="1" applyFill="1" applyBorder="1" applyAlignment="1" applyProtection="1">
      <alignment horizontal="center" vertical="center"/>
    </xf>
  </cellXfs>
  <cellStyles count="14">
    <cellStyle name="Moeda 2" xfId="9" xr:uid="{00000000-0005-0000-0000-000000000000}"/>
    <cellStyle name="Moeda 2 2" xfId="10" xr:uid="{00000000-0005-0000-0000-000001000000}"/>
    <cellStyle name="Normal" xfId="0" builtinId="0"/>
    <cellStyle name="Normal 2" xfId="7" xr:uid="{00000000-0005-0000-0000-000003000000}"/>
    <cellStyle name="Normal 3" xfId="8" xr:uid="{00000000-0005-0000-0000-000004000000}"/>
    <cellStyle name="Normal 4" xfId="11" xr:uid="{00000000-0005-0000-0000-000005000000}"/>
    <cellStyle name="Normal 5" xfId="2" xr:uid="{00000000-0005-0000-0000-000006000000}"/>
    <cellStyle name="Porcentagem" xfId="1" builtinId="5"/>
    <cellStyle name="Porcentagem 2" xfId="6" xr:uid="{00000000-0005-0000-0000-000008000000}"/>
    <cellStyle name="Porcentagem 3" xfId="5" xr:uid="{00000000-0005-0000-0000-000009000000}"/>
    <cellStyle name="Vírgula" xfId="13" builtinId="3"/>
    <cellStyle name="Vírgula 2" xfId="4" xr:uid="{00000000-0005-0000-0000-00000B000000}"/>
    <cellStyle name="Vírgula 3" xfId="12" xr:uid="{00000000-0005-0000-0000-00000C000000}"/>
    <cellStyle name="Vírgula 4" xfId="3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47624</xdr:colOff>
      <xdr:row>0</xdr:row>
      <xdr:rowOff>95250</xdr:rowOff>
    </xdr:from>
    <xdr:to>
      <xdr:col>16</xdr:col>
      <xdr:colOff>369093</xdr:colOff>
      <xdr:row>4</xdr:row>
      <xdr:rowOff>180881</xdr:rowOff>
    </xdr:to>
    <xdr:pic>
      <xdr:nvPicPr>
        <xdr:cNvPr id="2" name="Imagem 1" descr="Logos/logo-cashm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4" y="95250"/>
          <a:ext cx="4012406" cy="859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5</xdr:row>
      <xdr:rowOff>66675</xdr:rowOff>
    </xdr:from>
    <xdr:to>
      <xdr:col>0</xdr:col>
      <xdr:colOff>9048750</xdr:colOff>
      <xdr:row>33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038225"/>
          <a:ext cx="8172450" cy="526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>
    <tabColor theme="3"/>
  </sheetPr>
  <dimension ref="A1:W313"/>
  <sheetViews>
    <sheetView showGridLines="0" tabSelected="1" topLeftCell="D1" zoomScale="80" zoomScaleNormal="80" workbookViewId="0">
      <selection activeCell="D9" sqref="D9"/>
    </sheetView>
  </sheetViews>
  <sheetFormatPr defaultColWidth="9.140625" defaultRowHeight="15" outlineLevelCol="1" x14ac:dyDescent="0.25"/>
  <cols>
    <col min="1" max="1" width="3.28515625" style="18" hidden="1" customWidth="1" outlineLevel="1"/>
    <col min="2" max="2" width="26.7109375" style="2" hidden="1" customWidth="1" outlineLevel="1"/>
    <col min="3" max="3" width="18" style="3" hidden="1" customWidth="1" outlineLevel="1"/>
    <col min="4" max="4" width="3.28515625" style="3" customWidth="1" collapsed="1"/>
    <col min="5" max="5" width="32.85546875" style="4" customWidth="1"/>
    <col min="6" max="6" width="14.85546875" style="4" customWidth="1"/>
    <col min="7" max="7" width="2.7109375" style="5" customWidth="1"/>
    <col min="8" max="8" width="24.140625" style="5" customWidth="1"/>
    <col min="9" max="9" width="23" style="5" customWidth="1"/>
    <col min="10" max="10" width="12.28515625" style="5" customWidth="1"/>
    <col min="11" max="13" width="1.7109375" style="76" customWidth="1"/>
    <col min="14" max="14" width="18.5703125" style="90" customWidth="1"/>
    <col min="15" max="15" width="17.42578125" style="90" bestFit="1" customWidth="1"/>
    <col min="16" max="16" width="17.42578125" style="86" bestFit="1" customWidth="1"/>
    <col min="17" max="18" width="17.42578125" style="86" customWidth="1"/>
    <col min="19" max="21" width="17.42578125" style="86" customWidth="1" outlineLevel="1"/>
    <col min="22" max="22" width="17.42578125" style="64" customWidth="1" outlineLevel="1"/>
    <col min="23" max="23" width="17.42578125" style="86" customWidth="1"/>
    <col min="24" max="16384" width="9.140625" style="5"/>
  </cols>
  <sheetData>
    <row r="1" spans="1:23" x14ac:dyDescent="0.25">
      <c r="B1" s="2" t="s">
        <v>174</v>
      </c>
      <c r="C1" s="166">
        <f>0.3675%</f>
        <v>3.6749999999999999E-3</v>
      </c>
    </row>
    <row r="2" spans="1:23" x14ac:dyDescent="0.25">
      <c r="B2" s="2" t="s">
        <v>175</v>
      </c>
      <c r="C2" s="166">
        <f>(1+C1)^(12)-1</f>
        <v>4.5002381369939171E-2</v>
      </c>
    </row>
    <row r="3" spans="1:23" x14ac:dyDescent="0.25">
      <c r="A3" s="1"/>
      <c r="C3" s="27">
        <f>I12+C1</f>
        <v>1.3575E-2</v>
      </c>
      <c r="I3" s="118"/>
      <c r="J3" s="179"/>
      <c r="N3" s="87"/>
      <c r="O3" s="87"/>
      <c r="P3" s="64"/>
      <c r="Q3" s="64"/>
      <c r="R3" s="64"/>
      <c r="S3" s="64"/>
      <c r="T3" s="88"/>
      <c r="U3" s="64"/>
      <c r="W3" s="64"/>
    </row>
    <row r="4" spans="1:23" ht="15.75" thickBot="1" x14ac:dyDescent="0.3">
      <c r="A4" s="7"/>
      <c r="B4" s="56" t="s">
        <v>2</v>
      </c>
      <c r="C4" s="191"/>
      <c r="D4" s="9"/>
      <c r="E4" s="10" t="s">
        <v>3</v>
      </c>
      <c r="F4" s="6"/>
      <c r="H4" s="62" t="s">
        <v>4</v>
      </c>
      <c r="M4" s="89"/>
    </row>
    <row r="5" spans="1:23" ht="15.75" thickBot="1" x14ac:dyDescent="0.3">
      <c r="A5" s="7"/>
      <c r="B5" s="57" t="s">
        <v>5</v>
      </c>
      <c r="C5" s="58">
        <f>(1+C3)^(12)-1</f>
        <v>0.17563005617503014</v>
      </c>
      <c r="D5" s="11"/>
      <c r="E5" s="68" t="s">
        <v>6</v>
      </c>
      <c r="F5" s="12">
        <f ca="1">TODAY()</f>
        <v>44326</v>
      </c>
      <c r="H5" s="68" t="s">
        <v>7</v>
      </c>
      <c r="I5" s="13">
        <v>700000</v>
      </c>
      <c r="M5" s="91"/>
    </row>
    <row r="6" spans="1:23" ht="15.75" thickBot="1" x14ac:dyDescent="0.3">
      <c r="A6" s="7"/>
      <c r="B6" s="57" t="s">
        <v>8</v>
      </c>
      <c r="C6" s="58">
        <f>(1+I12)^(12)-1</f>
        <v>0.12548695692601797</v>
      </c>
      <c r="D6" s="11"/>
      <c r="H6" s="69" t="s">
        <v>9</v>
      </c>
      <c r="I6" s="19">
        <v>7000000</v>
      </c>
      <c r="M6" s="92"/>
      <c r="N6" s="93" t="s">
        <v>10</v>
      </c>
      <c r="O6" s="94"/>
      <c r="P6" s="95"/>
      <c r="Q6" s="95"/>
      <c r="R6" s="95"/>
      <c r="S6" s="95"/>
      <c r="T6" s="96"/>
      <c r="U6" s="96"/>
      <c r="V6" s="96"/>
      <c r="W6" s="95"/>
    </row>
    <row r="7" spans="1:23" ht="15.75" thickBot="1" x14ac:dyDescent="0.3">
      <c r="A7" s="7"/>
      <c r="B7" s="57" t="s">
        <v>11</v>
      </c>
      <c r="C7" s="59" t="s">
        <v>12</v>
      </c>
      <c r="D7" s="11"/>
      <c r="E7" s="8" t="s">
        <v>13</v>
      </c>
      <c r="F7" s="14"/>
      <c r="H7" s="69" t="s">
        <v>14</v>
      </c>
      <c r="I7" s="15">
        <v>240</v>
      </c>
      <c r="M7" s="89"/>
      <c r="N7" s="181"/>
      <c r="O7" s="181"/>
      <c r="P7" s="97"/>
      <c r="Q7" s="97"/>
      <c r="R7" s="97"/>
      <c r="S7" s="97" t="s">
        <v>15</v>
      </c>
      <c r="T7" s="98">
        <f>IF(I5&lt;&gt;"",I5,"")</f>
        <v>700000</v>
      </c>
      <c r="U7" s="97" t="s">
        <v>16</v>
      </c>
      <c r="V7" s="99">
        <f>IF(I25="","",I25)</f>
        <v>0.17563005617503014</v>
      </c>
      <c r="W7" s="99" t="str">
        <f>IF($J$25="","",$J$25)</f>
        <v/>
      </c>
    </row>
    <row r="8" spans="1:23" ht="15.75" thickBot="1" x14ac:dyDescent="0.3">
      <c r="A8" s="7"/>
      <c r="B8" s="57" t="s">
        <v>17</v>
      </c>
      <c r="C8" s="59">
        <v>0.3</v>
      </c>
      <c r="D8" s="11"/>
      <c r="E8" s="69" t="s">
        <v>18</v>
      </c>
      <c r="F8" s="176">
        <v>1500</v>
      </c>
      <c r="H8" s="69" t="s">
        <v>19</v>
      </c>
      <c r="I8" s="16" t="s">
        <v>1</v>
      </c>
      <c r="M8" s="89"/>
      <c r="N8" s="181" t="s">
        <v>170</v>
      </c>
      <c r="O8" s="183"/>
      <c r="P8" s="100"/>
      <c r="Q8" s="100"/>
      <c r="R8" s="100"/>
      <c r="S8" s="100" t="s">
        <v>20</v>
      </c>
      <c r="T8" s="101">
        <f>IF(I7="","",I7)</f>
        <v>240</v>
      </c>
      <c r="U8" s="100" t="s">
        <v>21</v>
      </c>
      <c r="V8" s="102">
        <f>IF(I26="","",I26)</f>
        <v>1.3574999999999893E-2</v>
      </c>
      <c r="W8" s="99" t="str">
        <f>IF($J$25="","",$J$25)</f>
        <v/>
      </c>
    </row>
    <row r="9" spans="1:23" ht="15.75" thickBot="1" x14ac:dyDescent="0.3">
      <c r="A9" s="7"/>
      <c r="B9" s="57" t="s">
        <v>22</v>
      </c>
      <c r="C9" s="59">
        <v>0.55000000000000004</v>
      </c>
      <c r="D9" s="11"/>
      <c r="E9" s="69" t="s">
        <v>23</v>
      </c>
      <c r="F9" s="17"/>
      <c r="H9" s="69" t="s">
        <v>24</v>
      </c>
      <c r="I9" s="16" t="s">
        <v>173</v>
      </c>
      <c r="M9" s="89"/>
      <c r="N9" s="182" t="s">
        <v>171</v>
      </c>
      <c r="O9" s="184"/>
      <c r="P9" s="100"/>
      <c r="Q9" s="100"/>
      <c r="R9" s="100"/>
      <c r="S9" s="100" t="s">
        <v>25</v>
      </c>
      <c r="T9" s="103" t="str">
        <f>IF(I8="","",I8)</f>
        <v>SAC</v>
      </c>
      <c r="U9" s="100" t="s">
        <v>26</v>
      </c>
      <c r="V9" s="99">
        <f>IF(I27="","",I27)</f>
        <v>0.19289893584850359</v>
      </c>
      <c r="W9" s="99" t="str">
        <f>IF($J$25="","",$J$25)</f>
        <v/>
      </c>
    </row>
    <row r="10" spans="1:23" s="18" customFormat="1" ht="15.75" thickBot="1" x14ac:dyDescent="0.3">
      <c r="A10" s="7"/>
      <c r="B10" s="57" t="s">
        <v>27</v>
      </c>
      <c r="C10" s="59">
        <f>IFERROR(VLOOKUP($H$15,Apoio!$A$4:$B$6,2,0),"")</f>
        <v>3.3799999999999997E-2</v>
      </c>
      <c r="D10" s="11"/>
      <c r="E10" s="69" t="s">
        <v>28</v>
      </c>
      <c r="F10" s="17">
        <v>1000</v>
      </c>
      <c r="H10" s="69" t="s">
        <v>29</v>
      </c>
      <c r="I10" s="19"/>
      <c r="J10" s="5"/>
      <c r="K10" s="76"/>
      <c r="L10" s="76"/>
      <c r="M10" s="84"/>
      <c r="N10" s="182"/>
      <c r="O10" s="180"/>
      <c r="P10" s="104"/>
      <c r="Q10" s="104"/>
      <c r="R10" s="104"/>
      <c r="S10" s="104" t="s">
        <v>30</v>
      </c>
      <c r="T10" s="103" t="str">
        <f>IF(I9="","",I9)</f>
        <v>Pré-Fixado</v>
      </c>
      <c r="U10" s="104" t="s">
        <v>31</v>
      </c>
      <c r="V10" s="102">
        <f>IF(I28="","",I28)</f>
        <v>1.4807428390121351E-2</v>
      </c>
      <c r="W10" s="99" t="str">
        <f>IF($J$25="","",$J$25)</f>
        <v/>
      </c>
    </row>
    <row r="11" spans="1:23" ht="15.75" thickBot="1" x14ac:dyDescent="0.3">
      <c r="A11" s="7"/>
      <c r="B11" s="60" t="s">
        <v>32</v>
      </c>
      <c r="C11" s="61">
        <v>27.32</v>
      </c>
      <c r="D11" s="11"/>
      <c r="E11" s="69" t="s">
        <v>33</v>
      </c>
      <c r="F11" s="17"/>
      <c r="H11" s="69" t="s">
        <v>34</v>
      </c>
      <c r="I11" s="20"/>
      <c r="J11" s="18"/>
      <c r="K11" s="84"/>
      <c r="L11" s="84"/>
      <c r="M11" s="86"/>
      <c r="N11" s="205" t="s">
        <v>35</v>
      </c>
      <c r="O11" s="205"/>
      <c r="P11" s="205"/>
      <c r="Q11" s="205"/>
      <c r="R11" s="205"/>
      <c r="S11" s="205"/>
      <c r="T11" s="205"/>
      <c r="U11" s="205"/>
      <c r="V11" s="205"/>
      <c r="W11" s="205"/>
    </row>
    <row r="12" spans="1:23" ht="15.75" thickBot="1" x14ac:dyDescent="0.3">
      <c r="A12" s="7"/>
      <c r="B12" s="62" t="s">
        <v>36</v>
      </c>
      <c r="C12" s="63"/>
      <c r="D12" s="11"/>
      <c r="E12" s="69" t="s">
        <v>37</v>
      </c>
      <c r="F12" s="17"/>
      <c r="H12" s="69" t="s">
        <v>77</v>
      </c>
      <c r="I12" s="48">
        <v>9.9000000000000008E-3</v>
      </c>
      <c r="J12" s="190"/>
      <c r="M12" s="105"/>
      <c r="N12" s="106" t="s">
        <v>38</v>
      </c>
      <c r="O12" s="107" t="s">
        <v>0</v>
      </c>
      <c r="P12" s="106" t="s">
        <v>39</v>
      </c>
      <c r="Q12" s="106" t="s">
        <v>40</v>
      </c>
      <c r="R12" s="106" t="s">
        <v>41</v>
      </c>
      <c r="S12" s="106" t="s">
        <v>42</v>
      </c>
      <c r="T12" s="106" t="s">
        <v>43</v>
      </c>
      <c r="U12" s="106" t="s">
        <v>44</v>
      </c>
      <c r="V12" s="106" t="s">
        <v>45</v>
      </c>
      <c r="W12" s="106" t="s">
        <v>46</v>
      </c>
    </row>
    <row r="13" spans="1:23" ht="15.75" thickBot="1" x14ac:dyDescent="0.3">
      <c r="A13" s="7"/>
      <c r="B13" s="60" t="s">
        <v>47</v>
      </c>
      <c r="C13" s="61">
        <f>IF($S$14="","",-SUM($S$13:$S$313))</f>
        <v>20042.989999999998</v>
      </c>
      <c r="D13" s="11"/>
      <c r="E13" s="69" t="s">
        <v>48</v>
      </c>
      <c r="F13" s="17"/>
      <c r="M13" s="108"/>
      <c r="N13" s="109"/>
      <c r="O13" s="110"/>
      <c r="P13" s="111"/>
      <c r="Q13" s="111"/>
      <c r="R13" s="111"/>
      <c r="S13" s="111"/>
      <c r="T13" s="111"/>
      <c r="U13" s="111"/>
      <c r="V13" s="111"/>
      <c r="W13" s="112">
        <f>IF(OR($I$5="",$I$6="",$I$7="",$I$8="",$I$9=""),"",ROUND($C$20,2))</f>
        <v>756054.65</v>
      </c>
    </row>
    <row r="14" spans="1:23" ht="15.75" thickBot="1" x14ac:dyDescent="0.3">
      <c r="A14" s="7"/>
      <c r="B14" s="60" t="s">
        <v>49</v>
      </c>
      <c r="C14" s="61">
        <f>IF($T$14="","",-SUM($T$13:$T$313))</f>
        <v>85680</v>
      </c>
      <c r="D14" s="11"/>
      <c r="E14" s="69" t="s">
        <v>50</v>
      </c>
      <c r="F14" s="70">
        <f>IF(I5="","",I5*F22)</f>
        <v>28000</v>
      </c>
      <c r="H14" s="56" t="s">
        <v>58</v>
      </c>
      <c r="I14" s="4"/>
      <c r="M14" s="113"/>
      <c r="N14" s="109">
        <f t="shared" ref="N14:N17" si="0">IF(OR(W13&lt;0.1,W13=""),"",N13+1)</f>
        <v>1</v>
      </c>
      <c r="O14" s="110">
        <f ca="1">IF(P14="","",IF(OR($I$5="",$I$6="",$I$7="",$I$8="",I9=""),"",EDATE(F5,1)))</f>
        <v>44357</v>
      </c>
      <c r="P14" s="114">
        <f t="shared" ref="P14:P77" si="1">IFERROR(IF(W13="","",IF(W13&lt;1,"",IF($F$32=1,IF(W13&lt;=0,0,IF($I$8="PRICE",IF(N14&lt;=$F$30,0,IF(N14="","",R14-Q14)),IF(N14&lt;=$F$30,0,IF(N14="","",ROUND((-$F$29/$T$8),2))))),IF(W13&lt;=0,0,IF($I$8="PRICE",IF(N14&lt;=$F$30,0,IF(N14="","",R14-Q14)),IF(N14&lt;=$F$30,0,IF(N14="","",ROUND((-$F$29/$F$28),2)))))))),"")</f>
        <v>-3150.23</v>
      </c>
      <c r="Q14" s="114">
        <f t="shared" ref="Q14:Q77" si="2">IFERROR(IF(W13="","",IF(W13&lt;=1,"",IF($I$20="Amortização e Encargos",IF(N14&lt;=$F$30,0,IF(N14="","",ROUND(($I$26*W13*-1),2))),IF(N14="","",ROUND(($I$26*W13*-1),2))))),"")</f>
        <v>-10263.44</v>
      </c>
      <c r="R14" s="114">
        <f t="shared" ref="R14:R77" si="3">IFERROR(IF(W13="","",IF(W13&lt;1,"",IF($F$32=1,IF(W13&lt;=0,0,IF($I$8="PRICE",IF($F$31=1,IF(N14&lt;=$F$30,ROUND((P14+Q14),2),IF(N14="","",ROUND((PMT($I$26,$T$8,$F$29,0,0)),2))),IF(N14="","",ROUND((P14+Q14),2))),IF(N14="","",ROUND((P14+Q14),2)))),IF(W13&lt;=0,ROUND((P14+Q14),2),IF($I$8="PRICE",IF($F$31=1,IF(N14&lt;=$F$30,ROUND((P14+Q14),2),IF(N14="","",ROUND((PMT($I$26,$F$28,$F$29,0,0)),2))),IF(N14="","",ROUND((P14+Q14),2))),IF(N14="","",ROUND((P14+Q14),2))))))),"")</f>
        <v>-13413.67</v>
      </c>
      <c r="S14" s="114">
        <f t="shared" ref="S14" si="4">IFERROR(IF(W13="","",IF(W13&lt;=1,"",IF(N14="","",ROUND(($F$23*W13*-1),2)))),"")</f>
        <v>-166.33</v>
      </c>
      <c r="T14" s="114">
        <f t="shared" ref="T14" si="5">IFERROR(IF(W13="","",IF(W13&lt;=1,"",IF(N14="","",ROUND((-$I$6*$F$24),2)))),"")</f>
        <v>-357</v>
      </c>
      <c r="U14" s="114">
        <f t="shared" ref="U14" si="6">IFERROR(IF(W13="","",IF(W13&lt;=1,"",IF(T14="","",ROUND((-$C$11),2)))),"")</f>
        <v>-27.32</v>
      </c>
      <c r="V14" s="114">
        <f t="shared" ref="V14" si="7">IFERROR(IF(W13="","",IF(W13&lt;1,"",IF(N14="","",(R14+S14+T14+U14)))),"")</f>
        <v>-13964.32</v>
      </c>
      <c r="W14" s="114">
        <f t="shared" ref="W14:W77" si="8">IFERROR(IF(IF(W13="","",IF(W13&lt;1,"",IF(Q14=0,ROUND((W13*(1+$I$26)),4),ROUND((W13*(1+$I$26)),4)+P14+Q14)))&lt;3,0,(IF(W13="","",IF(W13&lt;1,"",IF(Q14=0,ROUND((W13*(1+$I$26)),4),ROUND((W13*(1+$I$26)),4)+P14+Q14))))),"")</f>
        <v>752904.42190000007</v>
      </c>
    </row>
    <row r="15" spans="1:23" ht="15.75" thickBot="1" x14ac:dyDescent="0.3">
      <c r="A15" s="7"/>
      <c r="B15" s="60" t="s">
        <v>52</v>
      </c>
      <c r="C15" s="61">
        <f>IF($U$14="","",-SUM($U$13:$U$313))</f>
        <v>6556.7999999999847</v>
      </c>
      <c r="D15" s="11"/>
      <c r="E15" s="68" t="s">
        <v>53</v>
      </c>
      <c r="F15" s="71">
        <f>SUM(F8:F14)</f>
        <v>30500</v>
      </c>
      <c r="H15" s="23" t="s">
        <v>61</v>
      </c>
      <c r="I15" s="187">
        <f>IF(C10="","",$C$10)</f>
        <v>3.3799999999999997E-2</v>
      </c>
      <c r="K15" s="84"/>
      <c r="L15" s="84"/>
      <c r="M15" s="113"/>
      <c r="N15" s="109">
        <f t="shared" si="0"/>
        <v>2</v>
      </c>
      <c r="O15" s="110">
        <f ca="1">IF(W15="","",IF(N15="","",EDATE(O14,1)))</f>
        <v>44387</v>
      </c>
      <c r="P15" s="114">
        <f t="shared" si="1"/>
        <v>-3150.23</v>
      </c>
      <c r="Q15" s="114">
        <f t="shared" si="2"/>
        <v>-10220.68</v>
      </c>
      <c r="R15" s="114">
        <f t="shared" si="3"/>
        <v>-13370.91</v>
      </c>
      <c r="S15" s="114">
        <f t="shared" ref="S15:S78" si="9">IFERROR(IF(W14="","",IF(W14&lt;=1,"",IF(N15="","",ROUND(($F$23*W14*-1),2)))),"")</f>
        <v>-165.64</v>
      </c>
      <c r="T15" s="114">
        <f t="shared" ref="T15:T78" si="10">IFERROR(IF(W14="","",IF(W14&lt;=1,"",IF(N15="","",ROUND((-$I$6*$F$24),2)))),"")</f>
        <v>-357</v>
      </c>
      <c r="U15" s="114">
        <f t="shared" ref="U15:U78" si="11">IFERROR(IF(W14="","",IF(W14&lt;=1,"",IF(T15="","",ROUND((-$C$11),2)))),"")</f>
        <v>-27.32</v>
      </c>
      <c r="V15" s="114">
        <f t="shared" ref="V15:V78" si="12">IFERROR(IF(W14="","",IF(W14&lt;1,"",IF(N15="","",(R15+S15+T15+U15)))),"")</f>
        <v>-13920.869999999999</v>
      </c>
      <c r="W15" s="114">
        <f t="shared" si="8"/>
        <v>749754.18939999992</v>
      </c>
    </row>
    <row r="16" spans="1:23" s="22" customFormat="1" ht="15.75" thickBot="1" x14ac:dyDescent="0.3">
      <c r="A16" s="7"/>
      <c r="B16" s="60" t="s">
        <v>159</v>
      </c>
      <c r="C16" s="61">
        <f>IF($W$14="","",SUM($W$13:$W$313))</f>
        <v>91104514.387999952</v>
      </c>
      <c r="D16" s="21"/>
      <c r="H16" s="68" t="s">
        <v>64</v>
      </c>
      <c r="I16" s="188">
        <f>IFERROR(IF($W$13="","",($I$5+$F$15)/(1-$I$15)-($I$5+$F$15)),"")</f>
        <v>25554.647070999839</v>
      </c>
      <c r="K16" s="84"/>
      <c r="L16" s="84"/>
      <c r="M16" s="113"/>
      <c r="N16" s="109">
        <f t="shared" si="0"/>
        <v>3</v>
      </c>
      <c r="O16" s="110">
        <f t="shared" ref="O16:O17" ca="1" si="13">IF(W16="","",IF(N16="","",EDATE(O15,1)))</f>
        <v>44418</v>
      </c>
      <c r="P16" s="114">
        <f t="shared" si="1"/>
        <v>-3150.23</v>
      </c>
      <c r="Q16" s="114">
        <f t="shared" si="2"/>
        <v>-10177.91</v>
      </c>
      <c r="R16" s="114">
        <f t="shared" si="3"/>
        <v>-13328.14</v>
      </c>
      <c r="S16" s="114">
        <f t="shared" si="9"/>
        <v>-164.95</v>
      </c>
      <c r="T16" s="114">
        <f t="shared" si="10"/>
        <v>-357</v>
      </c>
      <c r="U16" s="114">
        <f t="shared" si="11"/>
        <v>-27.32</v>
      </c>
      <c r="V16" s="114">
        <f t="shared" si="12"/>
        <v>-13877.41</v>
      </c>
      <c r="W16" s="114">
        <f t="shared" si="8"/>
        <v>746603.96250000002</v>
      </c>
    </row>
    <row r="17" spans="1:23" ht="15.75" thickBot="1" x14ac:dyDescent="0.3">
      <c r="A17" s="7"/>
      <c r="B17" s="62" t="s">
        <v>55</v>
      </c>
      <c r="C17" s="64"/>
      <c r="D17" s="11"/>
      <c r="K17" s="84"/>
      <c r="L17" s="84"/>
      <c r="M17" s="113"/>
      <c r="N17" s="109">
        <f t="shared" si="0"/>
        <v>4</v>
      </c>
      <c r="O17" s="110">
        <f t="shared" ca="1" si="13"/>
        <v>44449</v>
      </c>
      <c r="P17" s="114">
        <f t="shared" si="1"/>
        <v>-3150.23</v>
      </c>
      <c r="Q17" s="114">
        <f t="shared" si="2"/>
        <v>-10135.15</v>
      </c>
      <c r="R17" s="114">
        <f t="shared" si="3"/>
        <v>-13285.38</v>
      </c>
      <c r="S17" s="114">
        <f t="shared" si="9"/>
        <v>-164.25</v>
      </c>
      <c r="T17" s="114">
        <f t="shared" si="10"/>
        <v>-357</v>
      </c>
      <c r="U17" s="114">
        <f t="shared" si="11"/>
        <v>-27.32</v>
      </c>
      <c r="V17" s="114">
        <f t="shared" si="12"/>
        <v>-13833.949999999999</v>
      </c>
      <c r="W17" s="114">
        <f t="shared" si="8"/>
        <v>743453.73129999998</v>
      </c>
    </row>
    <row r="18" spans="1:23" ht="15.75" thickBot="1" x14ac:dyDescent="0.3">
      <c r="A18" s="7"/>
      <c r="B18" s="60" t="s">
        <v>57</v>
      </c>
      <c r="C18" s="61">
        <f>IF(OR($I$7="",$I$26="",$C$20=""),"",-PMT($I$26,$I$7,$C$20,0,0))</f>
        <v>10683.490443535928</v>
      </c>
      <c r="D18" s="11"/>
      <c r="H18" s="62" t="s">
        <v>75</v>
      </c>
      <c r="K18" s="84"/>
      <c r="L18" s="84"/>
      <c r="M18" s="113"/>
      <c r="N18" s="109">
        <f t="shared" ref="N18:N81" si="14">IF(OR(W17&lt;0.1,W17=""),"",N17+1)</f>
        <v>5</v>
      </c>
      <c r="O18" s="110">
        <f t="shared" ref="O18:O81" ca="1" si="15">IF(W18="","",IF(N18="","",EDATE(O17,1)))</f>
        <v>44479</v>
      </c>
      <c r="P18" s="114">
        <f t="shared" si="1"/>
        <v>-3150.23</v>
      </c>
      <c r="Q18" s="114">
        <f t="shared" si="2"/>
        <v>-10092.379999999999</v>
      </c>
      <c r="R18" s="114">
        <f t="shared" si="3"/>
        <v>-13242.61</v>
      </c>
      <c r="S18" s="114">
        <f t="shared" si="9"/>
        <v>-163.56</v>
      </c>
      <c r="T18" s="114">
        <f t="shared" si="10"/>
        <v>-357</v>
      </c>
      <c r="U18" s="114">
        <f t="shared" si="11"/>
        <v>-27.32</v>
      </c>
      <c r="V18" s="114">
        <f t="shared" si="12"/>
        <v>-13790.49</v>
      </c>
      <c r="W18" s="114">
        <f t="shared" si="8"/>
        <v>740303.50569999998</v>
      </c>
    </row>
    <row r="19" spans="1:23" ht="15.75" thickBot="1" x14ac:dyDescent="0.3">
      <c r="A19" s="7"/>
      <c r="B19" s="60" t="s">
        <v>60</v>
      </c>
      <c r="C19" s="61">
        <f>IF(OR(I7="",$C$13="",$C$14="",$C$15=""),"",(SUM(C13:C15)/I7)+C18)</f>
        <v>11151.32290186926</v>
      </c>
      <c r="D19" s="24"/>
      <c r="H19" s="69" t="s">
        <v>91</v>
      </c>
      <c r="I19" s="15">
        <v>1</v>
      </c>
      <c r="K19" s="84"/>
      <c r="L19" s="84"/>
      <c r="M19" s="113"/>
      <c r="N19" s="109">
        <f t="shared" si="14"/>
        <v>6</v>
      </c>
      <c r="O19" s="110">
        <f t="shared" ca="1" si="15"/>
        <v>44510</v>
      </c>
      <c r="P19" s="114">
        <f t="shared" si="1"/>
        <v>-3150.23</v>
      </c>
      <c r="Q19" s="114">
        <f t="shared" si="2"/>
        <v>-10049.620000000001</v>
      </c>
      <c r="R19" s="114">
        <f t="shared" si="3"/>
        <v>-13199.85</v>
      </c>
      <c r="S19" s="114">
        <f t="shared" si="9"/>
        <v>-162.87</v>
      </c>
      <c r="T19" s="114">
        <f t="shared" si="10"/>
        <v>-357</v>
      </c>
      <c r="U19" s="114">
        <f t="shared" si="11"/>
        <v>-27.32</v>
      </c>
      <c r="V19" s="114">
        <f t="shared" si="12"/>
        <v>-13747.04</v>
      </c>
      <c r="W19" s="114">
        <f t="shared" si="8"/>
        <v>737153.27580000006</v>
      </c>
    </row>
    <row r="20" spans="1:23" ht="15.75" thickBot="1" x14ac:dyDescent="0.3">
      <c r="B20" s="60" t="s">
        <v>63</v>
      </c>
      <c r="C20" s="61">
        <f>IF($I$5="","",(($I$5+$F$15)/(1-$C$10)))</f>
        <v>756054.64707099984</v>
      </c>
      <c r="D20" s="11"/>
      <c r="H20" s="69" t="s">
        <v>83</v>
      </c>
      <c r="I20" s="189" t="s">
        <v>84</v>
      </c>
      <c r="K20" s="84"/>
      <c r="L20" s="84"/>
      <c r="M20" s="113"/>
      <c r="N20" s="109">
        <f t="shared" si="14"/>
        <v>7</v>
      </c>
      <c r="O20" s="110">
        <f t="shared" ca="1" si="15"/>
        <v>44540</v>
      </c>
      <c r="P20" s="114">
        <f t="shared" si="1"/>
        <v>-3150.23</v>
      </c>
      <c r="Q20" s="114">
        <f t="shared" si="2"/>
        <v>-10006.86</v>
      </c>
      <c r="R20" s="114">
        <f t="shared" si="3"/>
        <v>-13157.09</v>
      </c>
      <c r="S20" s="114">
        <f t="shared" si="9"/>
        <v>-162.16999999999999</v>
      </c>
      <c r="T20" s="114">
        <f t="shared" si="10"/>
        <v>-357</v>
      </c>
      <c r="U20" s="114">
        <f t="shared" si="11"/>
        <v>-27.32</v>
      </c>
      <c r="V20" s="114">
        <f t="shared" si="12"/>
        <v>-13703.58</v>
      </c>
      <c r="W20" s="114">
        <f t="shared" si="8"/>
        <v>734003.04150000005</v>
      </c>
    </row>
    <row r="21" spans="1:23" ht="15.75" thickBot="1" x14ac:dyDescent="0.3">
      <c r="B21" s="62" t="s">
        <v>66</v>
      </c>
      <c r="C21" s="64"/>
      <c r="D21" s="11"/>
      <c r="E21" s="56" t="s">
        <v>69</v>
      </c>
      <c r="K21" s="84"/>
      <c r="L21" s="84"/>
      <c r="M21" s="113"/>
      <c r="N21" s="109">
        <f t="shared" si="14"/>
        <v>8</v>
      </c>
      <c r="O21" s="110">
        <f t="shared" ca="1" si="15"/>
        <v>44571</v>
      </c>
      <c r="P21" s="114">
        <f t="shared" si="1"/>
        <v>-3150.23</v>
      </c>
      <c r="Q21" s="114">
        <f t="shared" si="2"/>
        <v>-9964.09</v>
      </c>
      <c r="R21" s="114">
        <f t="shared" si="3"/>
        <v>-13114.32</v>
      </c>
      <c r="S21" s="114">
        <f t="shared" si="9"/>
        <v>-161.47999999999999</v>
      </c>
      <c r="T21" s="114">
        <f t="shared" si="10"/>
        <v>-357</v>
      </c>
      <c r="U21" s="114">
        <f t="shared" si="11"/>
        <v>-27.32</v>
      </c>
      <c r="V21" s="114">
        <f t="shared" si="12"/>
        <v>-13660.119999999999</v>
      </c>
      <c r="W21" s="114">
        <f t="shared" si="8"/>
        <v>730852.81280000007</v>
      </c>
    </row>
    <row r="22" spans="1:23" ht="15.75" thickBot="1" x14ac:dyDescent="0.3">
      <c r="B22" s="65" t="s">
        <v>68</v>
      </c>
      <c r="C22" s="66">
        <f>IF($C$23="","",(($C$23+1)^12)-1)</f>
        <v>0.19289893584850359</v>
      </c>
      <c r="D22" s="11"/>
      <c r="E22" s="68" t="s">
        <v>71</v>
      </c>
      <c r="F22" s="25">
        <v>0.04</v>
      </c>
      <c r="H22" s="62" t="s">
        <v>51</v>
      </c>
      <c r="I22" s="76"/>
      <c r="J22" s="76"/>
      <c r="K22" s="86"/>
      <c r="L22" s="86"/>
      <c r="M22" s="113"/>
      <c r="N22" s="109">
        <f t="shared" si="14"/>
        <v>9</v>
      </c>
      <c r="O22" s="110">
        <f t="shared" ca="1" si="15"/>
        <v>44602</v>
      </c>
      <c r="P22" s="114">
        <f t="shared" si="1"/>
        <v>-3150.23</v>
      </c>
      <c r="Q22" s="114">
        <f t="shared" si="2"/>
        <v>-9921.33</v>
      </c>
      <c r="R22" s="114">
        <f t="shared" si="3"/>
        <v>-13071.56</v>
      </c>
      <c r="S22" s="114">
        <f t="shared" si="9"/>
        <v>-160.79</v>
      </c>
      <c r="T22" s="114">
        <f t="shared" si="10"/>
        <v>-357</v>
      </c>
      <c r="U22" s="114">
        <f t="shared" si="11"/>
        <v>-27.32</v>
      </c>
      <c r="V22" s="114">
        <f t="shared" si="12"/>
        <v>-13616.67</v>
      </c>
      <c r="W22" s="114">
        <f t="shared" si="8"/>
        <v>727702.57970000012</v>
      </c>
    </row>
    <row r="23" spans="1:23" ht="15.75" thickBot="1" x14ac:dyDescent="0.3">
      <c r="B23" s="65" t="s">
        <v>70</v>
      </c>
      <c r="C23" s="67">
        <f>(SUM(C13:C15)/C16)+$I$26</f>
        <v>1.4807428390121351E-2</v>
      </c>
      <c r="E23" s="69" t="s">
        <v>72</v>
      </c>
      <c r="F23" s="26">
        <v>2.2000000000000001E-4</v>
      </c>
      <c r="H23" s="69" t="s">
        <v>54</v>
      </c>
      <c r="I23" s="77" t="str">
        <f ca="1">IF(OR($I$24="",$I$11=""),"",((TODAY()-$I$11)/360))</f>
        <v/>
      </c>
      <c r="J23" s="78" t="str">
        <f>IF(OR($I$24="",$I$11=""),"",IF($I$23&lt;$I$24,"OK","Verificar"))</f>
        <v/>
      </c>
      <c r="K23" s="86"/>
      <c r="L23" s="86"/>
      <c r="M23" s="113"/>
      <c r="N23" s="109">
        <f t="shared" si="14"/>
        <v>10</v>
      </c>
      <c r="O23" s="110">
        <f t="shared" ca="1" si="15"/>
        <v>44630</v>
      </c>
      <c r="P23" s="114">
        <f t="shared" si="1"/>
        <v>-3150.23</v>
      </c>
      <c r="Q23" s="114">
        <f t="shared" si="2"/>
        <v>-9878.56</v>
      </c>
      <c r="R23" s="114">
        <f t="shared" si="3"/>
        <v>-13028.79</v>
      </c>
      <c r="S23" s="114">
        <f t="shared" si="9"/>
        <v>-160.09</v>
      </c>
      <c r="T23" s="114">
        <f t="shared" si="10"/>
        <v>-357</v>
      </c>
      <c r="U23" s="114">
        <f t="shared" si="11"/>
        <v>-27.32</v>
      </c>
      <c r="V23" s="114">
        <f t="shared" si="12"/>
        <v>-13573.2</v>
      </c>
      <c r="W23" s="114">
        <f t="shared" si="8"/>
        <v>724552.35219999996</v>
      </c>
    </row>
    <row r="24" spans="1:23" x14ac:dyDescent="0.25">
      <c r="E24" s="69" t="s">
        <v>74</v>
      </c>
      <c r="F24" s="26">
        <v>5.1E-5</v>
      </c>
      <c r="H24" s="69" t="s">
        <v>56</v>
      </c>
      <c r="I24" s="77">
        <f>IF(OR($I$5="",$I$7=""),"",(80-($I$7/12)))</f>
        <v>60</v>
      </c>
      <c r="J24" s="78" t="str">
        <f>J23</f>
        <v/>
      </c>
      <c r="M24" s="113"/>
      <c r="N24" s="109">
        <f t="shared" si="14"/>
        <v>11</v>
      </c>
      <c r="O24" s="110">
        <f t="shared" ca="1" si="15"/>
        <v>44661</v>
      </c>
      <c r="P24" s="114">
        <f t="shared" si="1"/>
        <v>-3150.23</v>
      </c>
      <c r="Q24" s="114">
        <f t="shared" si="2"/>
        <v>-9835.7999999999993</v>
      </c>
      <c r="R24" s="114">
        <f t="shared" si="3"/>
        <v>-12986.03</v>
      </c>
      <c r="S24" s="114">
        <f t="shared" si="9"/>
        <v>-159.4</v>
      </c>
      <c r="T24" s="114">
        <f t="shared" si="10"/>
        <v>-357</v>
      </c>
      <c r="U24" s="114">
        <f t="shared" si="11"/>
        <v>-27.32</v>
      </c>
      <c r="V24" s="114">
        <f t="shared" si="12"/>
        <v>-13529.75</v>
      </c>
      <c r="W24" s="114">
        <f t="shared" si="8"/>
        <v>721402.12040000001</v>
      </c>
    </row>
    <row r="25" spans="1:23" x14ac:dyDescent="0.25">
      <c r="C25" s="166"/>
      <c r="E25" s="69" t="s">
        <v>14</v>
      </c>
      <c r="F25" s="72">
        <f>IF(I7="","",I7/12)</f>
        <v>20</v>
      </c>
      <c r="H25" s="69" t="s">
        <v>59</v>
      </c>
      <c r="I25" s="79">
        <f>IF(OR($I$8="",$I$9=""),"",IF($I$9="Pré-Fixado",$C$5,$C$6))</f>
        <v>0.17563005617503014</v>
      </c>
      <c r="J25" s="80" t="str">
        <f>IF($I$5="","",IF($I$25&gt;$C$6,"",CONCATENATE("+    ",$C$7)))</f>
        <v/>
      </c>
      <c r="M25" s="113"/>
      <c r="N25" s="109">
        <f t="shared" si="14"/>
        <v>12</v>
      </c>
      <c r="O25" s="110">
        <f t="shared" ca="1" si="15"/>
        <v>44691</v>
      </c>
      <c r="P25" s="114">
        <f t="shared" si="1"/>
        <v>-3150.23</v>
      </c>
      <c r="Q25" s="114">
        <f t="shared" si="2"/>
        <v>-9793.0300000000007</v>
      </c>
      <c r="R25" s="114">
        <f t="shared" si="3"/>
        <v>-12943.26</v>
      </c>
      <c r="S25" s="114">
        <f t="shared" si="9"/>
        <v>-158.71</v>
      </c>
      <c r="T25" s="114">
        <f t="shared" si="10"/>
        <v>-357</v>
      </c>
      <c r="U25" s="114">
        <f t="shared" si="11"/>
        <v>-27.32</v>
      </c>
      <c r="V25" s="114">
        <f t="shared" si="12"/>
        <v>-13486.289999999999</v>
      </c>
      <c r="W25" s="114">
        <f t="shared" si="8"/>
        <v>718251.89419999998</v>
      </c>
    </row>
    <row r="26" spans="1:23" x14ac:dyDescent="0.25">
      <c r="C26" s="166"/>
      <c r="H26" s="69" t="s">
        <v>62</v>
      </c>
      <c r="I26" s="81">
        <f>IF(OR($I$8="",$I$9=""),"",ROUND((1+$I$25)^(1/12),6))-1</f>
        <v>1.3574999999999893E-2</v>
      </c>
      <c r="J26" s="80" t="str">
        <f>IF($I$5="","",IF($I$26&gt;(((1+$C$6)^(1/12))-1),"",CONCATENATE("+    ",$C$7)))</f>
        <v/>
      </c>
      <c r="M26" s="113"/>
      <c r="N26" s="109">
        <f t="shared" si="14"/>
        <v>13</v>
      </c>
      <c r="O26" s="110">
        <f t="shared" ca="1" si="15"/>
        <v>44722</v>
      </c>
      <c r="P26" s="114">
        <f t="shared" si="1"/>
        <v>-3150.23</v>
      </c>
      <c r="Q26" s="114">
        <f t="shared" si="2"/>
        <v>-9750.27</v>
      </c>
      <c r="R26" s="114">
        <f t="shared" si="3"/>
        <v>-12900.5</v>
      </c>
      <c r="S26" s="114">
        <f t="shared" si="9"/>
        <v>-158.02000000000001</v>
      </c>
      <c r="T26" s="114">
        <f t="shared" si="10"/>
        <v>-357</v>
      </c>
      <c r="U26" s="114">
        <f t="shared" si="11"/>
        <v>-27.32</v>
      </c>
      <c r="V26" s="114">
        <f t="shared" si="12"/>
        <v>-13442.84</v>
      </c>
      <c r="W26" s="114">
        <f t="shared" si="8"/>
        <v>715101.66370000003</v>
      </c>
    </row>
    <row r="27" spans="1:23" x14ac:dyDescent="0.25">
      <c r="C27" s="166"/>
      <c r="E27" s="69" t="s">
        <v>88</v>
      </c>
      <c r="F27" s="73" t="s">
        <v>89</v>
      </c>
      <c r="H27" s="69" t="s">
        <v>65</v>
      </c>
      <c r="I27" s="82">
        <f>IF(OR($I$8="",$I$9=""),"",C22)</f>
        <v>0.19289893584850359</v>
      </c>
      <c r="J27" s="80" t="str">
        <f>IF($I$5="","",IF($I$26&gt;(((1+$C$6)^(1/12))-1),"",CONCATENATE("+    ",$C$7)))</f>
        <v/>
      </c>
      <c r="M27" s="113"/>
      <c r="N27" s="109">
        <f t="shared" si="14"/>
        <v>14</v>
      </c>
      <c r="O27" s="110">
        <f t="shared" ca="1" si="15"/>
        <v>44752</v>
      </c>
      <c r="P27" s="114">
        <f t="shared" si="1"/>
        <v>-3150.23</v>
      </c>
      <c r="Q27" s="114">
        <f t="shared" si="2"/>
        <v>-9707.51</v>
      </c>
      <c r="R27" s="114">
        <f t="shared" si="3"/>
        <v>-12857.74</v>
      </c>
      <c r="S27" s="114">
        <f t="shared" si="9"/>
        <v>-157.32</v>
      </c>
      <c r="T27" s="114">
        <f t="shared" si="10"/>
        <v>-357</v>
      </c>
      <c r="U27" s="114">
        <f t="shared" si="11"/>
        <v>-27.32</v>
      </c>
      <c r="V27" s="114">
        <f t="shared" si="12"/>
        <v>-13399.38</v>
      </c>
      <c r="W27" s="114">
        <f t="shared" si="8"/>
        <v>711951.42879999999</v>
      </c>
    </row>
    <row r="28" spans="1:23" x14ac:dyDescent="0.25">
      <c r="C28" s="27"/>
      <c r="E28" s="69" t="s">
        <v>76</v>
      </c>
      <c r="F28" s="73">
        <f>IF(AND(I7&lt;&gt;"",I19&lt;&gt;""),(I7-F30),I7)</f>
        <v>240</v>
      </c>
      <c r="H28" s="69" t="s">
        <v>67</v>
      </c>
      <c r="I28" s="81">
        <f>IF(OR($I$8="",$I$9=""),"",C23)</f>
        <v>1.4807428390121351E-2</v>
      </c>
      <c r="J28" s="80" t="str">
        <f>IF($I$5="","",IF($I$26&gt;(((1+$C$6)^(1/12))-1),"",CONCATENATE("+    ",$C$7)))</f>
        <v/>
      </c>
      <c r="M28" s="113"/>
      <c r="N28" s="109">
        <f t="shared" si="14"/>
        <v>15</v>
      </c>
      <c r="O28" s="110">
        <f t="shared" ca="1" si="15"/>
        <v>44783</v>
      </c>
      <c r="P28" s="114">
        <f t="shared" si="1"/>
        <v>-3150.23</v>
      </c>
      <c r="Q28" s="114">
        <f t="shared" si="2"/>
        <v>-9664.74</v>
      </c>
      <c r="R28" s="114">
        <f t="shared" si="3"/>
        <v>-12814.97</v>
      </c>
      <c r="S28" s="114">
        <f t="shared" si="9"/>
        <v>-156.63</v>
      </c>
      <c r="T28" s="114">
        <f t="shared" si="10"/>
        <v>-357</v>
      </c>
      <c r="U28" s="114">
        <f t="shared" si="11"/>
        <v>-27.32</v>
      </c>
      <c r="V28" s="114">
        <f t="shared" si="12"/>
        <v>-13355.919999999998</v>
      </c>
      <c r="W28" s="114">
        <f t="shared" si="8"/>
        <v>708801.19940000004</v>
      </c>
    </row>
    <row r="29" spans="1:23" x14ac:dyDescent="0.25">
      <c r="E29" s="69" t="s">
        <v>87</v>
      </c>
      <c r="F29" s="74">
        <f>IF(I19&gt;1,INDEX(W13:W1002,I19+1),INDEX(W13:W1002,I19))</f>
        <v>756054.65</v>
      </c>
      <c r="H29" s="69" t="s">
        <v>93</v>
      </c>
      <c r="I29" s="83">
        <f>IF(F27="NÃO",I7,I7+I19)</f>
        <v>241</v>
      </c>
      <c r="J29" s="84"/>
      <c r="M29" s="113"/>
      <c r="N29" s="109">
        <f t="shared" si="14"/>
        <v>16</v>
      </c>
      <c r="O29" s="110">
        <f t="shared" ca="1" si="15"/>
        <v>44814</v>
      </c>
      <c r="P29" s="114">
        <f t="shared" si="1"/>
        <v>-3150.23</v>
      </c>
      <c r="Q29" s="114">
        <f t="shared" si="2"/>
        <v>-9621.98</v>
      </c>
      <c r="R29" s="114">
        <f t="shared" si="3"/>
        <v>-12772.21</v>
      </c>
      <c r="S29" s="114">
        <f t="shared" si="9"/>
        <v>-155.94</v>
      </c>
      <c r="T29" s="114">
        <f t="shared" si="10"/>
        <v>-357</v>
      </c>
      <c r="U29" s="114">
        <f t="shared" si="11"/>
        <v>-27.32</v>
      </c>
      <c r="V29" s="114">
        <f t="shared" si="12"/>
        <v>-13312.47</v>
      </c>
      <c r="W29" s="114">
        <f t="shared" si="8"/>
        <v>705650.96570000006</v>
      </c>
    </row>
    <row r="30" spans="1:23" x14ac:dyDescent="0.25">
      <c r="C30" s="27"/>
      <c r="E30" s="69" t="s">
        <v>90</v>
      </c>
      <c r="F30" s="75">
        <f>IF(I19=0,0,IF(I19=1,(I19-1),I19))</f>
        <v>0</v>
      </c>
      <c r="H30" s="69" t="s">
        <v>73</v>
      </c>
      <c r="I30" s="85">
        <f>IF(OR($W$13="",$I$6=""),"",$W$13/$I$6)</f>
        <v>0.10800780714285714</v>
      </c>
      <c r="J30" s="86"/>
      <c r="K30" s="115"/>
      <c r="L30" s="115"/>
      <c r="M30" s="113"/>
      <c r="N30" s="109">
        <f t="shared" si="14"/>
        <v>17</v>
      </c>
      <c r="O30" s="110">
        <f t="shared" ca="1" si="15"/>
        <v>44844</v>
      </c>
      <c r="P30" s="114">
        <f t="shared" si="1"/>
        <v>-3150.23</v>
      </c>
      <c r="Q30" s="114">
        <f t="shared" si="2"/>
        <v>-9579.2099999999991</v>
      </c>
      <c r="R30" s="114">
        <f t="shared" si="3"/>
        <v>-12729.44</v>
      </c>
      <c r="S30" s="114">
        <f t="shared" si="9"/>
        <v>-155.24</v>
      </c>
      <c r="T30" s="114">
        <f t="shared" si="10"/>
        <v>-357</v>
      </c>
      <c r="U30" s="114">
        <f t="shared" si="11"/>
        <v>-27.32</v>
      </c>
      <c r="V30" s="114">
        <f t="shared" si="12"/>
        <v>-13269</v>
      </c>
      <c r="W30" s="114">
        <f t="shared" si="8"/>
        <v>702500.73760000011</v>
      </c>
    </row>
    <row r="31" spans="1:23" x14ac:dyDescent="0.25">
      <c r="C31" s="28"/>
      <c r="E31" s="69" t="s">
        <v>90</v>
      </c>
      <c r="F31" s="75">
        <f>IF(I19&gt;0,1,0)</f>
        <v>1</v>
      </c>
      <c r="M31" s="113"/>
      <c r="N31" s="109">
        <f t="shared" si="14"/>
        <v>18</v>
      </c>
      <c r="O31" s="110">
        <f t="shared" ca="1" si="15"/>
        <v>44875</v>
      </c>
      <c r="P31" s="114">
        <f t="shared" si="1"/>
        <v>-3150.23</v>
      </c>
      <c r="Q31" s="114">
        <f t="shared" si="2"/>
        <v>-9536.4500000000007</v>
      </c>
      <c r="R31" s="114">
        <f t="shared" si="3"/>
        <v>-12686.68</v>
      </c>
      <c r="S31" s="114">
        <f t="shared" si="9"/>
        <v>-154.55000000000001</v>
      </c>
      <c r="T31" s="114">
        <f t="shared" si="10"/>
        <v>-357</v>
      </c>
      <c r="U31" s="114">
        <f t="shared" si="11"/>
        <v>-27.32</v>
      </c>
      <c r="V31" s="114">
        <f t="shared" si="12"/>
        <v>-13225.55</v>
      </c>
      <c r="W31" s="114">
        <f t="shared" si="8"/>
        <v>699350.50510000007</v>
      </c>
    </row>
    <row r="32" spans="1:23" x14ac:dyDescent="0.25">
      <c r="E32" s="69" t="s">
        <v>90</v>
      </c>
      <c r="F32" s="75">
        <f>IF(F27="SIM",1,0)</f>
        <v>1</v>
      </c>
      <c r="H32" s="68" t="s">
        <v>172</v>
      </c>
      <c r="I32" s="185">
        <f>QR!I25/30%</f>
        <v>44712.233333333337</v>
      </c>
      <c r="M32" s="113"/>
      <c r="N32" s="109">
        <f t="shared" si="14"/>
        <v>19</v>
      </c>
      <c r="O32" s="110">
        <f t="shared" ca="1" si="15"/>
        <v>44905</v>
      </c>
      <c r="P32" s="114">
        <f t="shared" si="1"/>
        <v>-3150.23</v>
      </c>
      <c r="Q32" s="114">
        <f t="shared" si="2"/>
        <v>-9493.68</v>
      </c>
      <c r="R32" s="114">
        <f t="shared" si="3"/>
        <v>-12643.91</v>
      </c>
      <c r="S32" s="114">
        <f t="shared" si="9"/>
        <v>-153.86000000000001</v>
      </c>
      <c r="T32" s="114">
        <f t="shared" si="10"/>
        <v>-357</v>
      </c>
      <c r="U32" s="114">
        <f t="shared" si="11"/>
        <v>-27.32</v>
      </c>
      <c r="V32" s="114">
        <f t="shared" si="12"/>
        <v>-13182.09</v>
      </c>
      <c r="W32" s="114">
        <f t="shared" si="8"/>
        <v>696200.27819999994</v>
      </c>
    </row>
    <row r="33" spans="1:23" x14ac:dyDescent="0.25">
      <c r="B33"/>
      <c r="C33"/>
      <c r="D33"/>
      <c r="E33"/>
      <c r="F33" s="29"/>
      <c r="M33" s="113"/>
      <c r="N33" s="109">
        <f t="shared" si="14"/>
        <v>20</v>
      </c>
      <c r="O33" s="110">
        <f t="shared" ca="1" si="15"/>
        <v>44936</v>
      </c>
      <c r="P33" s="114">
        <f t="shared" si="1"/>
        <v>-3150.23</v>
      </c>
      <c r="Q33" s="114">
        <f t="shared" si="2"/>
        <v>-9450.92</v>
      </c>
      <c r="R33" s="114">
        <f t="shared" si="3"/>
        <v>-12601.15</v>
      </c>
      <c r="S33" s="114">
        <f t="shared" si="9"/>
        <v>-153.16</v>
      </c>
      <c r="T33" s="114">
        <f t="shared" si="10"/>
        <v>-357</v>
      </c>
      <c r="U33" s="114">
        <f t="shared" si="11"/>
        <v>-27.32</v>
      </c>
      <c r="V33" s="114">
        <f t="shared" si="12"/>
        <v>-13138.63</v>
      </c>
      <c r="W33" s="114">
        <f t="shared" si="8"/>
        <v>693050.04700000002</v>
      </c>
    </row>
    <row r="34" spans="1:23" x14ac:dyDescent="0.25">
      <c r="A34" s="5"/>
      <c r="B34"/>
      <c r="C34"/>
      <c r="D34"/>
      <c r="E34"/>
      <c r="M34" s="113"/>
      <c r="N34" s="109">
        <f t="shared" si="14"/>
        <v>21</v>
      </c>
      <c r="O34" s="110">
        <f t="shared" ca="1" si="15"/>
        <v>44967</v>
      </c>
      <c r="P34" s="114">
        <f t="shared" si="1"/>
        <v>-3150.23</v>
      </c>
      <c r="Q34" s="114">
        <f t="shared" si="2"/>
        <v>-9408.15</v>
      </c>
      <c r="R34" s="114">
        <f t="shared" si="3"/>
        <v>-12558.38</v>
      </c>
      <c r="S34" s="114">
        <f t="shared" si="9"/>
        <v>-152.47</v>
      </c>
      <c r="T34" s="114">
        <f t="shared" si="10"/>
        <v>-357</v>
      </c>
      <c r="U34" s="114">
        <f t="shared" si="11"/>
        <v>-27.32</v>
      </c>
      <c r="V34" s="114">
        <f t="shared" si="12"/>
        <v>-13095.169999999998</v>
      </c>
      <c r="W34" s="114">
        <f t="shared" si="8"/>
        <v>689899.82140000002</v>
      </c>
    </row>
    <row r="35" spans="1:23" x14ac:dyDescent="0.25">
      <c r="B35"/>
      <c r="C35"/>
      <c r="D35"/>
      <c r="E35"/>
      <c r="M35" s="113"/>
      <c r="N35" s="109">
        <f t="shared" si="14"/>
        <v>22</v>
      </c>
      <c r="O35" s="110">
        <f t="shared" ca="1" si="15"/>
        <v>44995</v>
      </c>
      <c r="P35" s="114">
        <f t="shared" si="1"/>
        <v>-3150.23</v>
      </c>
      <c r="Q35" s="114">
        <f t="shared" si="2"/>
        <v>-9365.39</v>
      </c>
      <c r="R35" s="114">
        <f t="shared" si="3"/>
        <v>-12515.62</v>
      </c>
      <c r="S35" s="114">
        <f t="shared" si="9"/>
        <v>-151.78</v>
      </c>
      <c r="T35" s="114">
        <f t="shared" si="10"/>
        <v>-357</v>
      </c>
      <c r="U35" s="114">
        <f t="shared" si="11"/>
        <v>-27.32</v>
      </c>
      <c r="V35" s="114">
        <f t="shared" si="12"/>
        <v>-13051.720000000001</v>
      </c>
      <c r="W35" s="114">
        <f t="shared" si="8"/>
        <v>686749.59149999998</v>
      </c>
    </row>
    <row r="36" spans="1:23" x14ac:dyDescent="0.25">
      <c r="B36"/>
      <c r="C36"/>
      <c r="D36"/>
      <c r="E36"/>
      <c r="H36" s="168"/>
      <c r="I36" s="169"/>
      <c r="M36" s="113"/>
      <c r="N36" s="109">
        <f t="shared" si="14"/>
        <v>23</v>
      </c>
      <c r="O36" s="110">
        <f t="shared" ca="1" si="15"/>
        <v>45026</v>
      </c>
      <c r="P36" s="114">
        <f t="shared" si="1"/>
        <v>-3150.23</v>
      </c>
      <c r="Q36" s="114">
        <f t="shared" si="2"/>
        <v>-9322.6299999999992</v>
      </c>
      <c r="R36" s="114">
        <f t="shared" si="3"/>
        <v>-12472.86</v>
      </c>
      <c r="S36" s="114">
        <f t="shared" si="9"/>
        <v>-151.08000000000001</v>
      </c>
      <c r="T36" s="114">
        <f t="shared" si="10"/>
        <v>-357</v>
      </c>
      <c r="U36" s="114">
        <f t="shared" si="11"/>
        <v>-27.32</v>
      </c>
      <c r="V36" s="114">
        <f t="shared" si="12"/>
        <v>-13008.26</v>
      </c>
      <c r="W36" s="114">
        <f t="shared" si="8"/>
        <v>683599.35719999997</v>
      </c>
    </row>
    <row r="37" spans="1:23" x14ac:dyDescent="0.25">
      <c r="A37" s="39"/>
      <c r="B37" s="40"/>
      <c r="C37" s="39"/>
      <c r="D37" s="39"/>
      <c r="E37" s="41"/>
      <c r="F37" s="41"/>
      <c r="G37" s="41"/>
      <c r="H37" s="167"/>
      <c r="I37" s="167"/>
      <c r="J37" s="41"/>
      <c r="K37" s="116"/>
      <c r="L37" s="116"/>
      <c r="M37" s="113"/>
      <c r="N37" s="109">
        <f t="shared" si="14"/>
        <v>24</v>
      </c>
      <c r="O37" s="110">
        <f t="shared" ca="1" si="15"/>
        <v>45056</v>
      </c>
      <c r="P37" s="114">
        <f t="shared" si="1"/>
        <v>-3150.23</v>
      </c>
      <c r="Q37" s="114">
        <f t="shared" si="2"/>
        <v>-9279.86</v>
      </c>
      <c r="R37" s="114">
        <f t="shared" si="3"/>
        <v>-12430.09</v>
      </c>
      <c r="S37" s="114">
        <f t="shared" si="9"/>
        <v>-150.38999999999999</v>
      </c>
      <c r="T37" s="114">
        <f t="shared" si="10"/>
        <v>-357</v>
      </c>
      <c r="U37" s="114">
        <f t="shared" si="11"/>
        <v>-27.32</v>
      </c>
      <c r="V37" s="114">
        <f t="shared" si="12"/>
        <v>-12964.8</v>
      </c>
      <c r="W37" s="114">
        <f t="shared" si="8"/>
        <v>680449.12849999999</v>
      </c>
    </row>
    <row r="38" spans="1:23" x14ac:dyDescent="0.25">
      <c r="A38" s="39"/>
      <c r="B38" s="42"/>
      <c r="C38" s="43"/>
      <c r="D38" s="39"/>
      <c r="E38" s="41"/>
      <c r="F38" s="41"/>
      <c r="G38" s="44"/>
      <c r="H38" s="44"/>
      <c r="I38" s="44"/>
      <c r="J38" s="44"/>
      <c r="K38" s="117"/>
      <c r="L38" s="117"/>
      <c r="M38" s="113"/>
      <c r="N38" s="109">
        <f t="shared" si="14"/>
        <v>25</v>
      </c>
      <c r="O38" s="110">
        <f t="shared" ca="1" si="15"/>
        <v>45087</v>
      </c>
      <c r="P38" s="114">
        <f t="shared" si="1"/>
        <v>-3150.23</v>
      </c>
      <c r="Q38" s="114">
        <f t="shared" si="2"/>
        <v>-9237.1</v>
      </c>
      <c r="R38" s="114">
        <f t="shared" si="3"/>
        <v>-12387.33</v>
      </c>
      <c r="S38" s="114">
        <f t="shared" si="9"/>
        <v>-149.69999999999999</v>
      </c>
      <c r="T38" s="114">
        <f t="shared" si="10"/>
        <v>-357</v>
      </c>
      <c r="U38" s="114">
        <f t="shared" si="11"/>
        <v>-27.32</v>
      </c>
      <c r="V38" s="114">
        <f t="shared" si="12"/>
        <v>-12921.35</v>
      </c>
      <c r="W38" s="114">
        <f t="shared" si="8"/>
        <v>677298.89540000004</v>
      </c>
    </row>
    <row r="39" spans="1:23" x14ac:dyDescent="0.25">
      <c r="A39" s="39"/>
      <c r="D39" s="39"/>
      <c r="E39" s="41"/>
      <c r="F39" s="41"/>
      <c r="G39" s="41"/>
      <c r="H39" s="41"/>
      <c r="I39" s="41"/>
      <c r="J39" s="41"/>
      <c r="K39" s="116"/>
      <c r="L39" s="116"/>
      <c r="M39" s="113"/>
      <c r="N39" s="109">
        <f t="shared" si="14"/>
        <v>26</v>
      </c>
      <c r="O39" s="110">
        <f t="shared" ca="1" si="15"/>
        <v>45117</v>
      </c>
      <c r="P39" s="114">
        <f t="shared" si="1"/>
        <v>-3150.23</v>
      </c>
      <c r="Q39" s="114">
        <f t="shared" si="2"/>
        <v>-9194.33</v>
      </c>
      <c r="R39" s="114">
        <f t="shared" si="3"/>
        <v>-12344.56</v>
      </c>
      <c r="S39" s="114">
        <f t="shared" si="9"/>
        <v>-149.01</v>
      </c>
      <c r="T39" s="114">
        <f t="shared" si="10"/>
        <v>-357</v>
      </c>
      <c r="U39" s="114">
        <f t="shared" si="11"/>
        <v>-27.32</v>
      </c>
      <c r="V39" s="114">
        <f t="shared" si="12"/>
        <v>-12877.89</v>
      </c>
      <c r="W39" s="114">
        <f t="shared" si="8"/>
        <v>674148.66790000012</v>
      </c>
    </row>
    <row r="40" spans="1:23" x14ac:dyDescent="0.25">
      <c r="A40" s="39"/>
      <c r="D40" s="39"/>
      <c r="E40" s="41"/>
      <c r="F40" s="41"/>
      <c r="G40" s="41"/>
      <c r="H40" s="41"/>
      <c r="I40" s="41"/>
      <c r="J40" s="41"/>
      <c r="K40" s="116"/>
      <c r="L40" s="116"/>
      <c r="M40" s="113"/>
      <c r="N40" s="109">
        <f t="shared" si="14"/>
        <v>27</v>
      </c>
      <c r="O40" s="110">
        <f t="shared" ca="1" si="15"/>
        <v>45148</v>
      </c>
      <c r="P40" s="114">
        <f t="shared" si="1"/>
        <v>-3150.23</v>
      </c>
      <c r="Q40" s="114">
        <f t="shared" si="2"/>
        <v>-9151.57</v>
      </c>
      <c r="R40" s="114">
        <f t="shared" si="3"/>
        <v>-12301.8</v>
      </c>
      <c r="S40" s="114">
        <f t="shared" si="9"/>
        <v>-148.31</v>
      </c>
      <c r="T40" s="114">
        <f t="shared" si="10"/>
        <v>-357</v>
      </c>
      <c r="U40" s="114">
        <f t="shared" si="11"/>
        <v>-27.32</v>
      </c>
      <c r="V40" s="114">
        <f t="shared" si="12"/>
        <v>-12834.429999999998</v>
      </c>
      <c r="W40" s="114">
        <f t="shared" si="8"/>
        <v>670998.43610000005</v>
      </c>
    </row>
    <row r="41" spans="1:23" x14ac:dyDescent="0.25">
      <c r="A41" s="39"/>
      <c r="D41" s="39"/>
      <c r="E41" s="41"/>
      <c r="F41" s="41"/>
      <c r="G41" s="41"/>
      <c r="H41" s="41"/>
      <c r="I41" s="41"/>
      <c r="J41" s="41"/>
      <c r="K41" s="116"/>
      <c r="L41" s="116"/>
      <c r="M41" s="113"/>
      <c r="N41" s="109">
        <f t="shared" si="14"/>
        <v>28</v>
      </c>
      <c r="O41" s="110">
        <f t="shared" ca="1" si="15"/>
        <v>45179</v>
      </c>
      <c r="P41" s="114">
        <f t="shared" si="1"/>
        <v>-3150.23</v>
      </c>
      <c r="Q41" s="114">
        <f t="shared" si="2"/>
        <v>-9108.7999999999993</v>
      </c>
      <c r="R41" s="114">
        <f t="shared" si="3"/>
        <v>-12259.03</v>
      </c>
      <c r="S41" s="114">
        <f t="shared" si="9"/>
        <v>-147.62</v>
      </c>
      <c r="T41" s="114">
        <f t="shared" si="10"/>
        <v>-357</v>
      </c>
      <c r="U41" s="114">
        <f t="shared" si="11"/>
        <v>-27.32</v>
      </c>
      <c r="V41" s="114">
        <f t="shared" si="12"/>
        <v>-12790.970000000001</v>
      </c>
      <c r="W41" s="114">
        <f t="shared" si="8"/>
        <v>667848.20990000002</v>
      </c>
    </row>
    <row r="42" spans="1:23" x14ac:dyDescent="0.25">
      <c r="A42" s="39"/>
      <c r="B42" s="49"/>
      <c r="C42" s="50"/>
      <c r="D42" s="39"/>
      <c r="E42" s="41"/>
      <c r="F42" s="41"/>
      <c r="G42" s="41"/>
      <c r="H42" s="41"/>
      <c r="I42" s="41"/>
      <c r="J42" s="41"/>
      <c r="K42" s="116"/>
      <c r="L42" s="116"/>
      <c r="M42" s="113"/>
      <c r="N42" s="109">
        <f t="shared" si="14"/>
        <v>29</v>
      </c>
      <c r="O42" s="110">
        <f t="shared" ca="1" si="15"/>
        <v>45209</v>
      </c>
      <c r="P42" s="114">
        <f t="shared" si="1"/>
        <v>-3150.23</v>
      </c>
      <c r="Q42" s="114">
        <f t="shared" si="2"/>
        <v>-9066.0400000000009</v>
      </c>
      <c r="R42" s="114">
        <f t="shared" si="3"/>
        <v>-12216.27</v>
      </c>
      <c r="S42" s="114">
        <f t="shared" si="9"/>
        <v>-146.93</v>
      </c>
      <c r="T42" s="114">
        <f t="shared" si="10"/>
        <v>-357</v>
      </c>
      <c r="U42" s="114">
        <f t="shared" si="11"/>
        <v>-27.32</v>
      </c>
      <c r="V42" s="114">
        <f t="shared" si="12"/>
        <v>-12747.52</v>
      </c>
      <c r="W42" s="114">
        <f t="shared" si="8"/>
        <v>664697.97930000001</v>
      </c>
    </row>
    <row r="43" spans="1:23" x14ac:dyDescent="0.25">
      <c r="A43" s="39"/>
      <c r="B43" s="49"/>
      <c r="C43" s="50"/>
      <c r="D43" s="39"/>
      <c r="E43" s="41"/>
      <c r="F43" s="41"/>
      <c r="G43" s="41"/>
      <c r="H43" s="41"/>
      <c r="I43" s="41"/>
      <c r="J43" s="41"/>
      <c r="K43" s="116"/>
      <c r="L43" s="116"/>
      <c r="M43" s="113"/>
      <c r="N43" s="109">
        <f t="shared" si="14"/>
        <v>30</v>
      </c>
      <c r="O43" s="110">
        <f t="shared" ca="1" si="15"/>
        <v>45240</v>
      </c>
      <c r="P43" s="114">
        <f t="shared" si="1"/>
        <v>-3150.23</v>
      </c>
      <c r="Q43" s="114">
        <f t="shared" si="2"/>
        <v>-9023.2800000000007</v>
      </c>
      <c r="R43" s="114">
        <f t="shared" si="3"/>
        <v>-12173.51</v>
      </c>
      <c r="S43" s="114">
        <f t="shared" si="9"/>
        <v>-146.22999999999999</v>
      </c>
      <c r="T43" s="114">
        <f t="shared" si="10"/>
        <v>-357</v>
      </c>
      <c r="U43" s="114">
        <f t="shared" si="11"/>
        <v>-27.32</v>
      </c>
      <c r="V43" s="114">
        <f t="shared" si="12"/>
        <v>-12704.06</v>
      </c>
      <c r="W43" s="114">
        <f t="shared" si="8"/>
        <v>661547.74439999997</v>
      </c>
    </row>
    <row r="44" spans="1:23" x14ac:dyDescent="0.25">
      <c r="A44" s="39"/>
      <c r="B44" s="49"/>
      <c r="C44" s="50"/>
      <c r="D44" s="39"/>
      <c r="E44" s="41"/>
      <c r="F44" s="41"/>
      <c r="G44" s="41"/>
      <c r="H44" s="41"/>
      <c r="I44" s="41"/>
      <c r="J44" s="41"/>
      <c r="K44" s="116"/>
      <c r="L44" s="116"/>
      <c r="M44" s="113"/>
      <c r="N44" s="109">
        <f t="shared" si="14"/>
        <v>31</v>
      </c>
      <c r="O44" s="110">
        <f t="shared" ca="1" si="15"/>
        <v>45270</v>
      </c>
      <c r="P44" s="114">
        <f t="shared" si="1"/>
        <v>-3150.23</v>
      </c>
      <c r="Q44" s="114">
        <f t="shared" si="2"/>
        <v>-8980.51</v>
      </c>
      <c r="R44" s="114">
        <f t="shared" si="3"/>
        <v>-12130.74</v>
      </c>
      <c r="S44" s="114">
        <f t="shared" si="9"/>
        <v>-145.54</v>
      </c>
      <c r="T44" s="114">
        <f t="shared" si="10"/>
        <v>-357</v>
      </c>
      <c r="U44" s="114">
        <f t="shared" si="11"/>
        <v>-27.32</v>
      </c>
      <c r="V44" s="114">
        <f t="shared" si="12"/>
        <v>-12660.6</v>
      </c>
      <c r="W44" s="114">
        <f t="shared" si="8"/>
        <v>658397.51500000001</v>
      </c>
    </row>
    <row r="45" spans="1:23" x14ac:dyDescent="0.25">
      <c r="A45" s="39"/>
      <c r="B45" s="51"/>
      <c r="C45" s="50"/>
      <c r="D45" s="39"/>
      <c r="E45" s="41"/>
      <c r="F45" s="41"/>
      <c r="G45" s="41"/>
      <c r="H45" s="41"/>
      <c r="I45" s="41"/>
      <c r="J45" s="41"/>
      <c r="K45" s="116"/>
      <c r="L45" s="116"/>
      <c r="M45" s="113"/>
      <c r="N45" s="109">
        <f t="shared" si="14"/>
        <v>32</v>
      </c>
      <c r="O45" s="110">
        <f t="shared" ca="1" si="15"/>
        <v>45301</v>
      </c>
      <c r="P45" s="114">
        <f t="shared" si="1"/>
        <v>-3150.23</v>
      </c>
      <c r="Q45" s="114">
        <f t="shared" si="2"/>
        <v>-8937.75</v>
      </c>
      <c r="R45" s="114">
        <f t="shared" si="3"/>
        <v>-12087.98</v>
      </c>
      <c r="S45" s="114">
        <f t="shared" si="9"/>
        <v>-144.85</v>
      </c>
      <c r="T45" s="114">
        <f t="shared" si="10"/>
        <v>-357</v>
      </c>
      <c r="U45" s="114">
        <f t="shared" si="11"/>
        <v>-27.32</v>
      </c>
      <c r="V45" s="114">
        <f t="shared" si="12"/>
        <v>-12617.15</v>
      </c>
      <c r="W45" s="114">
        <f t="shared" si="8"/>
        <v>655247.28130000003</v>
      </c>
    </row>
    <row r="46" spans="1:23" x14ac:dyDescent="0.25">
      <c r="A46" s="39"/>
      <c r="B46" s="50"/>
      <c r="C46" s="50"/>
      <c r="D46" s="39"/>
      <c r="E46" s="41"/>
      <c r="F46" s="41"/>
      <c r="G46" s="41"/>
      <c r="H46" s="41"/>
      <c r="I46" s="41"/>
      <c r="J46" s="41"/>
      <c r="K46" s="116"/>
      <c r="L46" s="116"/>
      <c r="M46" s="113"/>
      <c r="N46" s="109">
        <f t="shared" si="14"/>
        <v>33</v>
      </c>
      <c r="O46" s="110">
        <f t="shared" ca="1" si="15"/>
        <v>45332</v>
      </c>
      <c r="P46" s="114">
        <f t="shared" si="1"/>
        <v>-3150.23</v>
      </c>
      <c r="Q46" s="114">
        <f t="shared" si="2"/>
        <v>-8894.98</v>
      </c>
      <c r="R46" s="114">
        <f t="shared" si="3"/>
        <v>-12045.21</v>
      </c>
      <c r="S46" s="114">
        <f t="shared" si="9"/>
        <v>-144.15</v>
      </c>
      <c r="T46" s="114">
        <f t="shared" si="10"/>
        <v>-357</v>
      </c>
      <c r="U46" s="114">
        <f t="shared" si="11"/>
        <v>-27.32</v>
      </c>
      <c r="V46" s="114">
        <f t="shared" si="12"/>
        <v>-12573.679999999998</v>
      </c>
      <c r="W46" s="114">
        <f t="shared" si="8"/>
        <v>652097.05310000002</v>
      </c>
    </row>
    <row r="47" spans="1:23" x14ac:dyDescent="0.25">
      <c r="A47" s="39"/>
      <c r="D47" s="39"/>
      <c r="E47" s="41"/>
      <c r="F47" s="41"/>
      <c r="G47" s="41"/>
      <c r="H47" s="41"/>
      <c r="I47" s="41"/>
      <c r="J47" s="41"/>
      <c r="K47" s="116"/>
      <c r="L47" s="116"/>
      <c r="M47" s="113"/>
      <c r="N47" s="109">
        <f t="shared" si="14"/>
        <v>34</v>
      </c>
      <c r="O47" s="110">
        <f t="shared" ca="1" si="15"/>
        <v>45361</v>
      </c>
      <c r="P47" s="114">
        <f t="shared" si="1"/>
        <v>-3150.23</v>
      </c>
      <c r="Q47" s="114">
        <f t="shared" si="2"/>
        <v>-8852.2199999999993</v>
      </c>
      <c r="R47" s="114">
        <f t="shared" si="3"/>
        <v>-12002.45</v>
      </c>
      <c r="S47" s="114">
        <f t="shared" si="9"/>
        <v>-143.46</v>
      </c>
      <c r="T47" s="114">
        <f t="shared" si="10"/>
        <v>-357</v>
      </c>
      <c r="U47" s="114">
        <f t="shared" si="11"/>
        <v>-27.32</v>
      </c>
      <c r="V47" s="114">
        <f t="shared" si="12"/>
        <v>-12530.23</v>
      </c>
      <c r="W47" s="114">
        <f t="shared" si="8"/>
        <v>648946.82060000009</v>
      </c>
    </row>
    <row r="48" spans="1:23" x14ac:dyDescent="0.25">
      <c r="A48" s="39"/>
      <c r="B48" s="39"/>
      <c r="C48" s="39"/>
      <c r="D48" s="39"/>
      <c r="E48" s="41"/>
      <c r="F48" s="41"/>
      <c r="G48" s="41"/>
      <c r="H48" s="41"/>
      <c r="I48" s="41"/>
      <c r="J48" s="41"/>
      <c r="K48" s="116"/>
      <c r="L48" s="116"/>
      <c r="M48" s="113"/>
      <c r="N48" s="109">
        <f t="shared" si="14"/>
        <v>35</v>
      </c>
      <c r="O48" s="110">
        <f t="shared" ca="1" si="15"/>
        <v>45392</v>
      </c>
      <c r="P48" s="114">
        <f t="shared" si="1"/>
        <v>-3150.23</v>
      </c>
      <c r="Q48" s="114">
        <f t="shared" si="2"/>
        <v>-8809.4500000000007</v>
      </c>
      <c r="R48" s="114">
        <f t="shared" si="3"/>
        <v>-11959.68</v>
      </c>
      <c r="S48" s="114">
        <f t="shared" si="9"/>
        <v>-142.77000000000001</v>
      </c>
      <c r="T48" s="114">
        <f t="shared" si="10"/>
        <v>-357</v>
      </c>
      <c r="U48" s="114">
        <f t="shared" si="11"/>
        <v>-27.32</v>
      </c>
      <c r="V48" s="114">
        <f t="shared" si="12"/>
        <v>-12486.77</v>
      </c>
      <c r="W48" s="114">
        <f t="shared" si="8"/>
        <v>645796.59370000008</v>
      </c>
    </row>
    <row r="49" spans="1:23" x14ac:dyDescent="0.25">
      <c r="A49" s="39"/>
      <c r="B49" s="39"/>
      <c r="C49" s="39"/>
      <c r="D49" s="39"/>
      <c r="E49" s="45"/>
      <c r="F49" s="41"/>
      <c r="G49" s="41"/>
      <c r="H49" s="41"/>
      <c r="I49" s="41"/>
      <c r="J49" s="41"/>
      <c r="K49" s="116"/>
      <c r="L49" s="116"/>
      <c r="M49" s="113"/>
      <c r="N49" s="109">
        <f t="shared" si="14"/>
        <v>36</v>
      </c>
      <c r="O49" s="110">
        <f t="shared" ca="1" si="15"/>
        <v>45422</v>
      </c>
      <c r="P49" s="114">
        <f t="shared" si="1"/>
        <v>-3150.23</v>
      </c>
      <c r="Q49" s="114">
        <f t="shared" si="2"/>
        <v>-8766.69</v>
      </c>
      <c r="R49" s="114">
        <f t="shared" si="3"/>
        <v>-11916.92</v>
      </c>
      <c r="S49" s="114">
        <f t="shared" si="9"/>
        <v>-142.08000000000001</v>
      </c>
      <c r="T49" s="114">
        <f t="shared" si="10"/>
        <v>-357</v>
      </c>
      <c r="U49" s="114">
        <f t="shared" si="11"/>
        <v>-27.32</v>
      </c>
      <c r="V49" s="114">
        <f t="shared" si="12"/>
        <v>-12443.32</v>
      </c>
      <c r="W49" s="114">
        <f t="shared" si="8"/>
        <v>642646.36250000005</v>
      </c>
    </row>
    <row r="50" spans="1:23" x14ac:dyDescent="0.25">
      <c r="A50" s="39"/>
      <c r="B50" s="39"/>
      <c r="C50" s="39"/>
      <c r="D50" s="39"/>
      <c r="E50" s="46"/>
      <c r="F50" s="47"/>
      <c r="G50" s="41"/>
      <c r="H50" s="41"/>
      <c r="I50" s="41"/>
      <c r="J50" s="41"/>
      <c r="K50" s="116"/>
      <c r="L50" s="116"/>
      <c r="M50" s="113"/>
      <c r="N50" s="109">
        <f t="shared" si="14"/>
        <v>37</v>
      </c>
      <c r="O50" s="110">
        <f t="shared" ca="1" si="15"/>
        <v>45453</v>
      </c>
      <c r="P50" s="114">
        <f t="shared" si="1"/>
        <v>-3150.23</v>
      </c>
      <c r="Q50" s="114">
        <f t="shared" si="2"/>
        <v>-8723.92</v>
      </c>
      <c r="R50" s="114">
        <f t="shared" si="3"/>
        <v>-11874.15</v>
      </c>
      <c r="S50" s="114">
        <f t="shared" si="9"/>
        <v>-141.38</v>
      </c>
      <c r="T50" s="114">
        <f t="shared" si="10"/>
        <v>-357</v>
      </c>
      <c r="U50" s="114">
        <f t="shared" si="11"/>
        <v>-27.32</v>
      </c>
      <c r="V50" s="114">
        <f t="shared" si="12"/>
        <v>-12399.849999999999</v>
      </c>
      <c r="W50" s="114">
        <f t="shared" si="8"/>
        <v>639496.13689999992</v>
      </c>
    </row>
    <row r="51" spans="1:23" x14ac:dyDescent="0.25">
      <c r="A51" s="39"/>
      <c r="B51" s="39"/>
      <c r="C51" s="39"/>
      <c r="D51" s="39"/>
      <c r="E51" s="45"/>
      <c r="F51" s="41"/>
      <c r="G51" s="41"/>
      <c r="H51" s="41"/>
      <c r="I51" s="41"/>
      <c r="J51" s="41"/>
      <c r="K51" s="116"/>
      <c r="L51" s="116"/>
      <c r="M51" s="113"/>
      <c r="N51" s="109">
        <f t="shared" si="14"/>
        <v>38</v>
      </c>
      <c r="O51" s="110">
        <f t="shared" ca="1" si="15"/>
        <v>45483</v>
      </c>
      <c r="P51" s="114">
        <f t="shared" si="1"/>
        <v>-3150.23</v>
      </c>
      <c r="Q51" s="114">
        <f t="shared" si="2"/>
        <v>-8681.16</v>
      </c>
      <c r="R51" s="114">
        <f t="shared" si="3"/>
        <v>-11831.39</v>
      </c>
      <c r="S51" s="114">
        <f t="shared" si="9"/>
        <v>-140.69</v>
      </c>
      <c r="T51" s="114">
        <f t="shared" si="10"/>
        <v>-357</v>
      </c>
      <c r="U51" s="114">
        <f t="shared" si="11"/>
        <v>-27.32</v>
      </c>
      <c r="V51" s="114">
        <f t="shared" si="12"/>
        <v>-12356.4</v>
      </c>
      <c r="W51" s="114">
        <f t="shared" si="8"/>
        <v>636345.90700000001</v>
      </c>
    </row>
    <row r="52" spans="1:23" x14ac:dyDescent="0.25">
      <c r="B52" s="3"/>
      <c r="E52" s="30"/>
      <c r="M52" s="113"/>
      <c r="N52" s="109">
        <f t="shared" si="14"/>
        <v>39</v>
      </c>
      <c r="O52" s="110">
        <f t="shared" ca="1" si="15"/>
        <v>45514</v>
      </c>
      <c r="P52" s="114">
        <f t="shared" si="1"/>
        <v>-3150.23</v>
      </c>
      <c r="Q52" s="114">
        <f t="shared" si="2"/>
        <v>-8638.4</v>
      </c>
      <c r="R52" s="114">
        <f t="shared" si="3"/>
        <v>-11788.63</v>
      </c>
      <c r="S52" s="114">
        <f t="shared" si="9"/>
        <v>-140</v>
      </c>
      <c r="T52" s="114">
        <f t="shared" si="10"/>
        <v>-357</v>
      </c>
      <c r="U52" s="114">
        <f t="shared" si="11"/>
        <v>-27.32</v>
      </c>
      <c r="V52" s="114">
        <f t="shared" si="12"/>
        <v>-12312.949999999999</v>
      </c>
      <c r="W52" s="114">
        <f t="shared" si="8"/>
        <v>633195.6727</v>
      </c>
    </row>
    <row r="53" spans="1:23" x14ac:dyDescent="0.25">
      <c r="B53" s="3"/>
      <c r="M53" s="113"/>
      <c r="N53" s="109">
        <f t="shared" si="14"/>
        <v>40</v>
      </c>
      <c r="O53" s="110">
        <f t="shared" ca="1" si="15"/>
        <v>45545</v>
      </c>
      <c r="P53" s="114">
        <f t="shared" si="1"/>
        <v>-3150.23</v>
      </c>
      <c r="Q53" s="114">
        <f t="shared" si="2"/>
        <v>-8595.6299999999992</v>
      </c>
      <c r="R53" s="114">
        <f t="shared" si="3"/>
        <v>-11745.86</v>
      </c>
      <c r="S53" s="114">
        <f t="shared" si="9"/>
        <v>-139.30000000000001</v>
      </c>
      <c r="T53" s="114">
        <f t="shared" si="10"/>
        <v>-357</v>
      </c>
      <c r="U53" s="114">
        <f t="shared" si="11"/>
        <v>-27.32</v>
      </c>
      <c r="V53" s="114">
        <f t="shared" si="12"/>
        <v>-12269.48</v>
      </c>
      <c r="W53" s="114">
        <f t="shared" si="8"/>
        <v>630045.44400000002</v>
      </c>
    </row>
    <row r="54" spans="1:23" x14ac:dyDescent="0.25">
      <c r="B54" s="3"/>
      <c r="M54" s="113"/>
      <c r="N54" s="109">
        <f t="shared" si="14"/>
        <v>41</v>
      </c>
      <c r="O54" s="110">
        <f t="shared" ca="1" si="15"/>
        <v>45575</v>
      </c>
      <c r="P54" s="114">
        <f t="shared" si="1"/>
        <v>-3150.23</v>
      </c>
      <c r="Q54" s="114">
        <f t="shared" si="2"/>
        <v>-8552.8700000000008</v>
      </c>
      <c r="R54" s="114">
        <f t="shared" si="3"/>
        <v>-11703.1</v>
      </c>
      <c r="S54" s="114">
        <f t="shared" si="9"/>
        <v>-138.61000000000001</v>
      </c>
      <c r="T54" s="114">
        <f t="shared" si="10"/>
        <v>-357</v>
      </c>
      <c r="U54" s="114">
        <f t="shared" si="11"/>
        <v>-27.32</v>
      </c>
      <c r="V54" s="114">
        <f t="shared" si="12"/>
        <v>-12226.03</v>
      </c>
      <c r="W54" s="114">
        <f t="shared" si="8"/>
        <v>626895.21090000006</v>
      </c>
    </row>
    <row r="55" spans="1:23" x14ac:dyDescent="0.25">
      <c r="B55" s="3"/>
      <c r="M55" s="113"/>
      <c r="N55" s="109">
        <f t="shared" si="14"/>
        <v>42</v>
      </c>
      <c r="O55" s="110">
        <f t="shared" ca="1" si="15"/>
        <v>45606</v>
      </c>
      <c r="P55" s="114">
        <f t="shared" si="1"/>
        <v>-3150.23</v>
      </c>
      <c r="Q55" s="114">
        <f t="shared" si="2"/>
        <v>-8510.1</v>
      </c>
      <c r="R55" s="114">
        <f t="shared" si="3"/>
        <v>-11660.33</v>
      </c>
      <c r="S55" s="114">
        <f t="shared" si="9"/>
        <v>-137.91999999999999</v>
      </c>
      <c r="T55" s="114">
        <f t="shared" si="10"/>
        <v>-357</v>
      </c>
      <c r="U55" s="114">
        <f t="shared" si="11"/>
        <v>-27.32</v>
      </c>
      <c r="V55" s="114">
        <f t="shared" si="12"/>
        <v>-12182.57</v>
      </c>
      <c r="W55" s="114">
        <f t="shared" si="8"/>
        <v>623744.98340000003</v>
      </c>
    </row>
    <row r="56" spans="1:23" x14ac:dyDescent="0.25">
      <c r="B56" s="3"/>
      <c r="M56" s="113"/>
      <c r="N56" s="109">
        <f t="shared" si="14"/>
        <v>43</v>
      </c>
      <c r="O56" s="110">
        <f t="shared" ca="1" si="15"/>
        <v>45636</v>
      </c>
      <c r="P56" s="114">
        <f t="shared" si="1"/>
        <v>-3150.23</v>
      </c>
      <c r="Q56" s="114">
        <f t="shared" si="2"/>
        <v>-8467.34</v>
      </c>
      <c r="R56" s="114">
        <f t="shared" si="3"/>
        <v>-11617.57</v>
      </c>
      <c r="S56" s="114">
        <f t="shared" si="9"/>
        <v>-137.22</v>
      </c>
      <c r="T56" s="114">
        <f t="shared" si="10"/>
        <v>-357</v>
      </c>
      <c r="U56" s="114">
        <f t="shared" si="11"/>
        <v>-27.32</v>
      </c>
      <c r="V56" s="114">
        <f t="shared" si="12"/>
        <v>-12139.109999999999</v>
      </c>
      <c r="W56" s="114">
        <f t="shared" si="8"/>
        <v>620594.75150000001</v>
      </c>
    </row>
    <row r="57" spans="1:23" x14ac:dyDescent="0.25">
      <c r="M57" s="113"/>
      <c r="N57" s="109">
        <f t="shared" si="14"/>
        <v>44</v>
      </c>
      <c r="O57" s="110">
        <f t="shared" ca="1" si="15"/>
        <v>45667</v>
      </c>
      <c r="P57" s="114">
        <f t="shared" si="1"/>
        <v>-3150.23</v>
      </c>
      <c r="Q57" s="114">
        <f t="shared" si="2"/>
        <v>-8424.57</v>
      </c>
      <c r="R57" s="114">
        <f t="shared" si="3"/>
        <v>-11574.8</v>
      </c>
      <c r="S57" s="114">
        <f t="shared" si="9"/>
        <v>-136.53</v>
      </c>
      <c r="T57" s="114">
        <f t="shared" si="10"/>
        <v>-357</v>
      </c>
      <c r="U57" s="114">
        <f t="shared" si="11"/>
        <v>-27.32</v>
      </c>
      <c r="V57" s="114">
        <f t="shared" si="12"/>
        <v>-12095.65</v>
      </c>
      <c r="W57" s="114">
        <f t="shared" si="8"/>
        <v>617444.5253000001</v>
      </c>
    </row>
    <row r="58" spans="1:23" x14ac:dyDescent="0.25">
      <c r="M58" s="113"/>
      <c r="N58" s="109">
        <f t="shared" si="14"/>
        <v>45</v>
      </c>
      <c r="O58" s="110">
        <f t="shared" ca="1" si="15"/>
        <v>45698</v>
      </c>
      <c r="P58" s="114">
        <f t="shared" si="1"/>
        <v>-3150.23</v>
      </c>
      <c r="Q58" s="114">
        <f t="shared" si="2"/>
        <v>-8381.81</v>
      </c>
      <c r="R58" s="114">
        <f t="shared" si="3"/>
        <v>-11532.04</v>
      </c>
      <c r="S58" s="114">
        <f t="shared" si="9"/>
        <v>-135.84</v>
      </c>
      <c r="T58" s="114">
        <f t="shared" si="10"/>
        <v>-357</v>
      </c>
      <c r="U58" s="114">
        <f t="shared" si="11"/>
        <v>-27.32</v>
      </c>
      <c r="V58" s="114">
        <f t="shared" si="12"/>
        <v>-12052.2</v>
      </c>
      <c r="W58" s="114">
        <f t="shared" si="8"/>
        <v>614294.29469999997</v>
      </c>
    </row>
    <row r="59" spans="1:23" x14ac:dyDescent="0.25">
      <c r="M59" s="113"/>
      <c r="N59" s="109">
        <f t="shared" si="14"/>
        <v>46</v>
      </c>
      <c r="O59" s="110">
        <f t="shared" ca="1" si="15"/>
        <v>45726</v>
      </c>
      <c r="P59" s="114">
        <f t="shared" si="1"/>
        <v>-3150.23</v>
      </c>
      <c r="Q59" s="114">
        <f t="shared" si="2"/>
        <v>-8339.0499999999993</v>
      </c>
      <c r="R59" s="114">
        <f t="shared" si="3"/>
        <v>-11489.28</v>
      </c>
      <c r="S59" s="114">
        <f t="shared" si="9"/>
        <v>-135.13999999999999</v>
      </c>
      <c r="T59" s="114">
        <f t="shared" si="10"/>
        <v>-357</v>
      </c>
      <c r="U59" s="114">
        <f t="shared" si="11"/>
        <v>-27.32</v>
      </c>
      <c r="V59" s="114">
        <f t="shared" si="12"/>
        <v>-12008.74</v>
      </c>
      <c r="W59" s="114">
        <f t="shared" si="8"/>
        <v>611144.05979999993</v>
      </c>
    </row>
    <row r="60" spans="1:23" x14ac:dyDescent="0.25">
      <c r="M60" s="113"/>
      <c r="N60" s="109">
        <f t="shared" si="14"/>
        <v>47</v>
      </c>
      <c r="O60" s="110">
        <f t="shared" ca="1" si="15"/>
        <v>45757</v>
      </c>
      <c r="P60" s="114">
        <f t="shared" si="1"/>
        <v>-3150.23</v>
      </c>
      <c r="Q60" s="114">
        <f t="shared" si="2"/>
        <v>-8296.2800000000007</v>
      </c>
      <c r="R60" s="114">
        <f t="shared" si="3"/>
        <v>-11446.51</v>
      </c>
      <c r="S60" s="114">
        <f t="shared" si="9"/>
        <v>-134.44999999999999</v>
      </c>
      <c r="T60" s="114">
        <f t="shared" si="10"/>
        <v>-357</v>
      </c>
      <c r="U60" s="114">
        <f t="shared" si="11"/>
        <v>-27.32</v>
      </c>
      <c r="V60" s="114">
        <f t="shared" si="12"/>
        <v>-11965.28</v>
      </c>
      <c r="W60" s="114">
        <f t="shared" si="8"/>
        <v>607993.83039999998</v>
      </c>
    </row>
    <row r="61" spans="1:23" x14ac:dyDescent="0.25">
      <c r="M61" s="113"/>
      <c r="N61" s="109">
        <f t="shared" si="14"/>
        <v>48</v>
      </c>
      <c r="O61" s="110">
        <f t="shared" ca="1" si="15"/>
        <v>45787</v>
      </c>
      <c r="P61" s="114">
        <f t="shared" si="1"/>
        <v>-3150.23</v>
      </c>
      <c r="Q61" s="114">
        <f t="shared" si="2"/>
        <v>-8253.52</v>
      </c>
      <c r="R61" s="114">
        <f t="shared" si="3"/>
        <v>-11403.75</v>
      </c>
      <c r="S61" s="114">
        <f t="shared" si="9"/>
        <v>-133.76</v>
      </c>
      <c r="T61" s="114">
        <f t="shared" si="10"/>
        <v>-357</v>
      </c>
      <c r="U61" s="114">
        <f t="shared" si="11"/>
        <v>-27.32</v>
      </c>
      <c r="V61" s="114">
        <f t="shared" si="12"/>
        <v>-11921.83</v>
      </c>
      <c r="W61" s="114">
        <f t="shared" si="8"/>
        <v>604843.59660000005</v>
      </c>
    </row>
    <row r="62" spans="1:23" x14ac:dyDescent="0.25">
      <c r="M62" s="113"/>
      <c r="N62" s="109">
        <f t="shared" si="14"/>
        <v>49</v>
      </c>
      <c r="O62" s="110">
        <f t="shared" ca="1" si="15"/>
        <v>45818</v>
      </c>
      <c r="P62" s="114">
        <f t="shared" si="1"/>
        <v>-3150.23</v>
      </c>
      <c r="Q62" s="114">
        <f t="shared" si="2"/>
        <v>-8210.75</v>
      </c>
      <c r="R62" s="114">
        <f t="shared" si="3"/>
        <v>-11360.98</v>
      </c>
      <c r="S62" s="114">
        <f t="shared" si="9"/>
        <v>-133.07</v>
      </c>
      <c r="T62" s="114">
        <f t="shared" si="10"/>
        <v>-357</v>
      </c>
      <c r="U62" s="114">
        <f t="shared" si="11"/>
        <v>-27.32</v>
      </c>
      <c r="V62" s="114">
        <f t="shared" si="12"/>
        <v>-11878.369999999999</v>
      </c>
      <c r="W62" s="114">
        <f t="shared" si="8"/>
        <v>601693.36840000004</v>
      </c>
    </row>
    <row r="63" spans="1:23" x14ac:dyDescent="0.25">
      <c r="M63" s="113"/>
      <c r="N63" s="109">
        <f t="shared" si="14"/>
        <v>50</v>
      </c>
      <c r="O63" s="110">
        <f t="shared" ca="1" si="15"/>
        <v>45848</v>
      </c>
      <c r="P63" s="114">
        <f t="shared" si="1"/>
        <v>-3150.23</v>
      </c>
      <c r="Q63" s="114">
        <f t="shared" si="2"/>
        <v>-8167.99</v>
      </c>
      <c r="R63" s="114">
        <f t="shared" si="3"/>
        <v>-11318.22</v>
      </c>
      <c r="S63" s="114">
        <f t="shared" si="9"/>
        <v>-132.37</v>
      </c>
      <c r="T63" s="114">
        <f t="shared" si="10"/>
        <v>-357</v>
      </c>
      <c r="U63" s="114">
        <f t="shared" si="11"/>
        <v>-27.32</v>
      </c>
      <c r="V63" s="114">
        <f t="shared" si="12"/>
        <v>-11834.91</v>
      </c>
      <c r="W63" s="114">
        <f t="shared" si="8"/>
        <v>598543.13589999999</v>
      </c>
    </row>
    <row r="64" spans="1:23" x14ac:dyDescent="0.25">
      <c r="M64" s="113"/>
      <c r="N64" s="109">
        <f t="shared" si="14"/>
        <v>51</v>
      </c>
      <c r="O64" s="110">
        <f t="shared" ca="1" si="15"/>
        <v>45879</v>
      </c>
      <c r="P64" s="114">
        <f t="shared" si="1"/>
        <v>-3150.23</v>
      </c>
      <c r="Q64" s="114">
        <f t="shared" si="2"/>
        <v>-8125.22</v>
      </c>
      <c r="R64" s="114">
        <f t="shared" si="3"/>
        <v>-11275.45</v>
      </c>
      <c r="S64" s="114">
        <f t="shared" si="9"/>
        <v>-131.68</v>
      </c>
      <c r="T64" s="114">
        <f t="shared" si="10"/>
        <v>-357</v>
      </c>
      <c r="U64" s="114">
        <f t="shared" si="11"/>
        <v>-27.32</v>
      </c>
      <c r="V64" s="114">
        <f t="shared" si="12"/>
        <v>-11791.45</v>
      </c>
      <c r="W64" s="114">
        <f t="shared" si="8"/>
        <v>595392.9090000001</v>
      </c>
    </row>
    <row r="65" spans="13:23" x14ac:dyDescent="0.25">
      <c r="M65" s="113"/>
      <c r="N65" s="109">
        <f t="shared" si="14"/>
        <v>52</v>
      </c>
      <c r="O65" s="110">
        <f t="shared" ca="1" si="15"/>
        <v>45910</v>
      </c>
      <c r="P65" s="114">
        <f t="shared" si="1"/>
        <v>-3150.23</v>
      </c>
      <c r="Q65" s="114">
        <f t="shared" si="2"/>
        <v>-8082.46</v>
      </c>
      <c r="R65" s="114">
        <f t="shared" si="3"/>
        <v>-11232.69</v>
      </c>
      <c r="S65" s="114">
        <f t="shared" si="9"/>
        <v>-130.99</v>
      </c>
      <c r="T65" s="114">
        <f t="shared" si="10"/>
        <v>-357</v>
      </c>
      <c r="U65" s="114">
        <f t="shared" si="11"/>
        <v>-27.32</v>
      </c>
      <c r="V65" s="114">
        <f t="shared" si="12"/>
        <v>-11748</v>
      </c>
      <c r="W65" s="114">
        <f t="shared" si="8"/>
        <v>592242.6777</v>
      </c>
    </row>
    <row r="66" spans="13:23" x14ac:dyDescent="0.25">
      <c r="M66" s="113"/>
      <c r="N66" s="109">
        <f t="shared" si="14"/>
        <v>53</v>
      </c>
      <c r="O66" s="110">
        <f t="shared" ca="1" si="15"/>
        <v>45940</v>
      </c>
      <c r="P66" s="114">
        <f t="shared" si="1"/>
        <v>-3150.23</v>
      </c>
      <c r="Q66" s="114">
        <f t="shared" si="2"/>
        <v>-8039.69</v>
      </c>
      <c r="R66" s="114">
        <f t="shared" si="3"/>
        <v>-11189.92</v>
      </c>
      <c r="S66" s="114">
        <f t="shared" si="9"/>
        <v>-130.29</v>
      </c>
      <c r="T66" s="114">
        <f t="shared" si="10"/>
        <v>-357</v>
      </c>
      <c r="U66" s="114">
        <f t="shared" si="11"/>
        <v>-27.32</v>
      </c>
      <c r="V66" s="114">
        <f t="shared" si="12"/>
        <v>-11704.53</v>
      </c>
      <c r="W66" s="114">
        <f t="shared" si="8"/>
        <v>589092.45200000005</v>
      </c>
    </row>
    <row r="67" spans="13:23" x14ac:dyDescent="0.25">
      <c r="M67" s="113"/>
      <c r="N67" s="109">
        <f t="shared" si="14"/>
        <v>54</v>
      </c>
      <c r="O67" s="110">
        <f t="shared" ca="1" si="15"/>
        <v>45971</v>
      </c>
      <c r="P67" s="114">
        <f t="shared" si="1"/>
        <v>-3150.23</v>
      </c>
      <c r="Q67" s="114">
        <f t="shared" si="2"/>
        <v>-7996.93</v>
      </c>
      <c r="R67" s="114">
        <f t="shared" si="3"/>
        <v>-11147.16</v>
      </c>
      <c r="S67" s="114">
        <f t="shared" si="9"/>
        <v>-129.6</v>
      </c>
      <c r="T67" s="114">
        <f t="shared" si="10"/>
        <v>-357</v>
      </c>
      <c r="U67" s="114">
        <f t="shared" si="11"/>
        <v>-27.32</v>
      </c>
      <c r="V67" s="114">
        <f t="shared" si="12"/>
        <v>-11661.08</v>
      </c>
      <c r="W67" s="114">
        <f t="shared" si="8"/>
        <v>585942.22199999995</v>
      </c>
    </row>
    <row r="68" spans="13:23" x14ac:dyDescent="0.25">
      <c r="M68" s="113"/>
      <c r="N68" s="109">
        <f t="shared" si="14"/>
        <v>55</v>
      </c>
      <c r="O68" s="110">
        <f t="shared" ca="1" si="15"/>
        <v>46001</v>
      </c>
      <c r="P68" s="114">
        <f t="shared" si="1"/>
        <v>-3150.23</v>
      </c>
      <c r="Q68" s="114">
        <f t="shared" si="2"/>
        <v>-7954.17</v>
      </c>
      <c r="R68" s="114">
        <f t="shared" si="3"/>
        <v>-11104.4</v>
      </c>
      <c r="S68" s="114">
        <f t="shared" si="9"/>
        <v>-128.91</v>
      </c>
      <c r="T68" s="114">
        <f t="shared" si="10"/>
        <v>-357</v>
      </c>
      <c r="U68" s="114">
        <f t="shared" si="11"/>
        <v>-27.32</v>
      </c>
      <c r="V68" s="114">
        <f t="shared" si="12"/>
        <v>-11617.63</v>
      </c>
      <c r="W68" s="114">
        <f t="shared" si="8"/>
        <v>582791.98769999994</v>
      </c>
    </row>
    <row r="69" spans="13:23" x14ac:dyDescent="0.25">
      <c r="M69" s="113"/>
      <c r="N69" s="109">
        <f t="shared" si="14"/>
        <v>56</v>
      </c>
      <c r="O69" s="110">
        <f t="shared" ca="1" si="15"/>
        <v>46032</v>
      </c>
      <c r="P69" s="114">
        <f t="shared" si="1"/>
        <v>-3150.23</v>
      </c>
      <c r="Q69" s="114">
        <f t="shared" si="2"/>
        <v>-7911.4</v>
      </c>
      <c r="R69" s="114">
        <f t="shared" si="3"/>
        <v>-11061.63</v>
      </c>
      <c r="S69" s="114">
        <f t="shared" si="9"/>
        <v>-128.21</v>
      </c>
      <c r="T69" s="114">
        <f t="shared" si="10"/>
        <v>-357</v>
      </c>
      <c r="U69" s="114">
        <f t="shared" si="11"/>
        <v>-27.32</v>
      </c>
      <c r="V69" s="114">
        <f t="shared" si="12"/>
        <v>-11574.159999999998</v>
      </c>
      <c r="W69" s="114">
        <f t="shared" si="8"/>
        <v>579641.75890000002</v>
      </c>
    </row>
    <row r="70" spans="13:23" x14ac:dyDescent="0.25">
      <c r="M70" s="113"/>
      <c r="N70" s="109">
        <f t="shared" si="14"/>
        <v>57</v>
      </c>
      <c r="O70" s="110">
        <f t="shared" ca="1" si="15"/>
        <v>46063</v>
      </c>
      <c r="P70" s="114">
        <f t="shared" si="1"/>
        <v>-3150.23</v>
      </c>
      <c r="Q70" s="114">
        <f t="shared" si="2"/>
        <v>-7868.64</v>
      </c>
      <c r="R70" s="114">
        <f t="shared" si="3"/>
        <v>-11018.87</v>
      </c>
      <c r="S70" s="114">
        <f t="shared" si="9"/>
        <v>-127.52</v>
      </c>
      <c r="T70" s="114">
        <f t="shared" si="10"/>
        <v>-357</v>
      </c>
      <c r="U70" s="114">
        <f t="shared" si="11"/>
        <v>-27.32</v>
      </c>
      <c r="V70" s="114">
        <f t="shared" si="12"/>
        <v>-11530.710000000001</v>
      </c>
      <c r="W70" s="114">
        <f t="shared" si="8"/>
        <v>576491.52580000006</v>
      </c>
    </row>
    <row r="71" spans="13:23" x14ac:dyDescent="0.25">
      <c r="M71" s="113"/>
      <c r="N71" s="109">
        <f t="shared" si="14"/>
        <v>58</v>
      </c>
      <c r="O71" s="110">
        <f t="shared" ca="1" si="15"/>
        <v>46091</v>
      </c>
      <c r="P71" s="114">
        <f t="shared" si="1"/>
        <v>-3150.23</v>
      </c>
      <c r="Q71" s="114">
        <f t="shared" si="2"/>
        <v>-7825.87</v>
      </c>
      <c r="R71" s="114">
        <f t="shared" si="3"/>
        <v>-10976.1</v>
      </c>
      <c r="S71" s="114">
        <f t="shared" si="9"/>
        <v>-126.83</v>
      </c>
      <c r="T71" s="114">
        <f t="shared" si="10"/>
        <v>-357</v>
      </c>
      <c r="U71" s="114">
        <f t="shared" si="11"/>
        <v>-27.32</v>
      </c>
      <c r="V71" s="114">
        <f t="shared" si="12"/>
        <v>-11487.25</v>
      </c>
      <c r="W71" s="114">
        <f t="shared" si="8"/>
        <v>573341.29830000002</v>
      </c>
    </row>
    <row r="72" spans="13:23" x14ac:dyDescent="0.25">
      <c r="M72" s="113"/>
      <c r="N72" s="109">
        <f t="shared" si="14"/>
        <v>59</v>
      </c>
      <c r="O72" s="110">
        <f t="shared" ca="1" si="15"/>
        <v>46122</v>
      </c>
      <c r="P72" s="114">
        <f t="shared" si="1"/>
        <v>-3150.23</v>
      </c>
      <c r="Q72" s="114">
        <f t="shared" si="2"/>
        <v>-7783.11</v>
      </c>
      <c r="R72" s="114">
        <f t="shared" si="3"/>
        <v>-10933.34</v>
      </c>
      <c r="S72" s="114">
        <f t="shared" si="9"/>
        <v>-126.14</v>
      </c>
      <c r="T72" s="114">
        <f t="shared" si="10"/>
        <v>-357</v>
      </c>
      <c r="U72" s="114">
        <f t="shared" si="11"/>
        <v>-27.32</v>
      </c>
      <c r="V72" s="114">
        <f t="shared" si="12"/>
        <v>-11443.8</v>
      </c>
      <c r="W72" s="114">
        <f t="shared" si="8"/>
        <v>570191.06640000001</v>
      </c>
    </row>
    <row r="73" spans="13:23" x14ac:dyDescent="0.25">
      <c r="M73" s="113"/>
      <c r="N73" s="109">
        <f t="shared" si="14"/>
        <v>60</v>
      </c>
      <c r="O73" s="110">
        <f t="shared" ca="1" si="15"/>
        <v>46152</v>
      </c>
      <c r="P73" s="114">
        <f t="shared" si="1"/>
        <v>-3150.23</v>
      </c>
      <c r="Q73" s="114">
        <f t="shared" si="2"/>
        <v>-7740.34</v>
      </c>
      <c r="R73" s="114">
        <f t="shared" si="3"/>
        <v>-10890.57</v>
      </c>
      <c r="S73" s="114">
        <f t="shared" si="9"/>
        <v>-125.44</v>
      </c>
      <c r="T73" s="114">
        <f t="shared" si="10"/>
        <v>-357</v>
      </c>
      <c r="U73" s="114">
        <f t="shared" si="11"/>
        <v>-27.32</v>
      </c>
      <c r="V73" s="114">
        <f t="shared" si="12"/>
        <v>-11400.33</v>
      </c>
      <c r="W73" s="114">
        <f t="shared" si="8"/>
        <v>567040.84010000003</v>
      </c>
    </row>
    <row r="74" spans="13:23" x14ac:dyDescent="0.25">
      <c r="M74" s="113"/>
      <c r="N74" s="109">
        <f t="shared" si="14"/>
        <v>61</v>
      </c>
      <c r="O74" s="110">
        <f t="shared" ca="1" si="15"/>
        <v>46183</v>
      </c>
      <c r="P74" s="114">
        <f t="shared" si="1"/>
        <v>-3150.23</v>
      </c>
      <c r="Q74" s="114">
        <f t="shared" si="2"/>
        <v>-7697.58</v>
      </c>
      <c r="R74" s="114">
        <f t="shared" si="3"/>
        <v>-10847.81</v>
      </c>
      <c r="S74" s="114">
        <f t="shared" si="9"/>
        <v>-124.75</v>
      </c>
      <c r="T74" s="114">
        <f t="shared" si="10"/>
        <v>-357</v>
      </c>
      <c r="U74" s="114">
        <f t="shared" si="11"/>
        <v>-27.32</v>
      </c>
      <c r="V74" s="114">
        <f t="shared" si="12"/>
        <v>-11356.88</v>
      </c>
      <c r="W74" s="114">
        <f t="shared" si="8"/>
        <v>563890.60950000002</v>
      </c>
    </row>
    <row r="75" spans="13:23" x14ac:dyDescent="0.25">
      <c r="M75" s="113"/>
      <c r="N75" s="109">
        <f t="shared" si="14"/>
        <v>62</v>
      </c>
      <c r="O75" s="110">
        <f t="shared" ca="1" si="15"/>
        <v>46213</v>
      </c>
      <c r="P75" s="114">
        <f t="shared" si="1"/>
        <v>-3150.23</v>
      </c>
      <c r="Q75" s="114">
        <f t="shared" si="2"/>
        <v>-7654.82</v>
      </c>
      <c r="R75" s="114">
        <f t="shared" si="3"/>
        <v>-10805.05</v>
      </c>
      <c r="S75" s="114">
        <f t="shared" si="9"/>
        <v>-124.06</v>
      </c>
      <c r="T75" s="114">
        <f t="shared" si="10"/>
        <v>-357</v>
      </c>
      <c r="U75" s="114">
        <f t="shared" si="11"/>
        <v>-27.32</v>
      </c>
      <c r="V75" s="114">
        <f t="shared" si="12"/>
        <v>-11313.429999999998</v>
      </c>
      <c r="W75" s="114">
        <f t="shared" si="8"/>
        <v>560740.37450000003</v>
      </c>
    </row>
    <row r="76" spans="13:23" x14ac:dyDescent="0.25">
      <c r="M76" s="113"/>
      <c r="N76" s="109">
        <f t="shared" si="14"/>
        <v>63</v>
      </c>
      <c r="O76" s="110">
        <f t="shared" ca="1" si="15"/>
        <v>46244</v>
      </c>
      <c r="P76" s="114">
        <f t="shared" si="1"/>
        <v>-3150.23</v>
      </c>
      <c r="Q76" s="114">
        <f t="shared" si="2"/>
        <v>-7612.05</v>
      </c>
      <c r="R76" s="114">
        <f t="shared" si="3"/>
        <v>-10762.28</v>
      </c>
      <c r="S76" s="114">
        <f t="shared" si="9"/>
        <v>-123.36</v>
      </c>
      <c r="T76" s="114">
        <f t="shared" si="10"/>
        <v>-357</v>
      </c>
      <c r="U76" s="114">
        <f t="shared" si="11"/>
        <v>-27.32</v>
      </c>
      <c r="V76" s="114">
        <f t="shared" si="12"/>
        <v>-11269.960000000001</v>
      </c>
      <c r="W76" s="114">
        <f t="shared" si="8"/>
        <v>557590.14509999997</v>
      </c>
    </row>
    <row r="77" spans="13:23" x14ac:dyDescent="0.25">
      <c r="M77" s="113"/>
      <c r="N77" s="109">
        <f t="shared" si="14"/>
        <v>64</v>
      </c>
      <c r="O77" s="110">
        <f t="shared" ca="1" si="15"/>
        <v>46275</v>
      </c>
      <c r="P77" s="114">
        <f t="shared" si="1"/>
        <v>-3150.23</v>
      </c>
      <c r="Q77" s="114">
        <f t="shared" si="2"/>
        <v>-7569.29</v>
      </c>
      <c r="R77" s="114">
        <f t="shared" si="3"/>
        <v>-10719.52</v>
      </c>
      <c r="S77" s="114">
        <f t="shared" si="9"/>
        <v>-122.67</v>
      </c>
      <c r="T77" s="114">
        <f t="shared" si="10"/>
        <v>-357</v>
      </c>
      <c r="U77" s="114">
        <f t="shared" si="11"/>
        <v>-27.32</v>
      </c>
      <c r="V77" s="114">
        <f t="shared" si="12"/>
        <v>-11226.51</v>
      </c>
      <c r="W77" s="114">
        <f t="shared" si="8"/>
        <v>554439.91130000004</v>
      </c>
    </row>
    <row r="78" spans="13:23" x14ac:dyDescent="0.25">
      <c r="M78" s="113"/>
      <c r="N78" s="109">
        <f t="shared" si="14"/>
        <v>65</v>
      </c>
      <c r="O78" s="110">
        <f t="shared" ca="1" si="15"/>
        <v>46305</v>
      </c>
      <c r="P78" s="114">
        <f t="shared" ref="P78:P141" si="16">IFERROR(IF(W77="","",IF(W77&lt;1,"",IF($F$32=1,IF(W77&lt;=0,0,IF($I$8="PRICE",IF(N78&lt;=$F$30,0,IF(N78="","",R78-Q78)),IF(N78&lt;=$F$30,0,IF(N78="","",ROUND((-$F$29/$T$8),2))))),IF(W77&lt;=0,0,IF($I$8="PRICE",IF(N78&lt;=$F$30,0,IF(N78="","",R78-Q78)),IF(N78&lt;=$F$30,0,IF(N78="","",ROUND((-$F$29/$F$28),2)))))))),"")</f>
        <v>-3150.23</v>
      </c>
      <c r="Q78" s="114">
        <f t="shared" ref="Q78:Q141" si="17">IFERROR(IF(W77="","",IF(W77&lt;=1,"",IF($I$20="Amortização e Encargos",IF(N78&lt;=$F$30,0,IF(N78="","",ROUND(($I$26*W77*-1),2))),IF(N78="","",ROUND(($I$26*W77*-1),2))))),"")</f>
        <v>-7526.52</v>
      </c>
      <c r="R78" s="114">
        <f t="shared" ref="R78:R141" si="18">IFERROR(IF(W77="","",IF(W77&lt;1,"",IF($F$32=1,IF(W77&lt;=0,0,IF($I$8="PRICE",IF($F$31=1,IF(N78&lt;=$F$30,ROUND((P78+Q78),2),IF(N78="","",ROUND((PMT($I$26,$T$8,$F$29,0,0)),2))),IF(N78="","",ROUND((P78+Q78),2))),IF(N78="","",ROUND((P78+Q78),2)))),IF(W77&lt;=0,ROUND((P78+Q78),2),IF($I$8="PRICE",IF($F$31=1,IF(N78&lt;=$F$30,ROUND((P78+Q78),2),IF(N78="","",ROUND((PMT($I$26,$F$28,$F$29,0,0)),2))),IF(N78="","",ROUND((P78+Q78),2))),IF(N78="","",ROUND((P78+Q78),2))))))),"")</f>
        <v>-10676.75</v>
      </c>
      <c r="S78" s="114">
        <f t="shared" si="9"/>
        <v>-121.98</v>
      </c>
      <c r="T78" s="114">
        <f t="shared" si="10"/>
        <v>-357</v>
      </c>
      <c r="U78" s="114">
        <f t="shared" si="11"/>
        <v>-27.32</v>
      </c>
      <c r="V78" s="114">
        <f t="shared" si="12"/>
        <v>-11183.05</v>
      </c>
      <c r="W78" s="114">
        <f t="shared" ref="W78:W141" si="19">IFERROR(IF(IF(W77="","",IF(W77&lt;1,"",IF(Q78=0,ROUND((W77*(1+$I$26)),4),ROUND((W77*(1+$I$26)),4)+P78+Q78)))&lt;3,0,(IF(W77="","",IF(W77&lt;1,"",IF(Q78=0,ROUND((W77*(1+$I$26)),4),ROUND((W77*(1+$I$26)),4)+P78+Q78))))),"")</f>
        <v>551289.68310000002</v>
      </c>
    </row>
    <row r="79" spans="13:23" x14ac:dyDescent="0.25">
      <c r="M79" s="113"/>
      <c r="N79" s="109">
        <f t="shared" si="14"/>
        <v>66</v>
      </c>
      <c r="O79" s="110">
        <f t="shared" ca="1" si="15"/>
        <v>46336</v>
      </c>
      <c r="P79" s="114">
        <f t="shared" si="16"/>
        <v>-3150.23</v>
      </c>
      <c r="Q79" s="114">
        <f t="shared" si="17"/>
        <v>-7483.76</v>
      </c>
      <c r="R79" s="114">
        <f t="shared" si="18"/>
        <v>-10633.99</v>
      </c>
      <c r="S79" s="114">
        <f t="shared" ref="S79:S142" si="20">IFERROR(IF(W78="","",IF(W78&lt;=1,"",IF(N79="","",ROUND(($F$23*W78*-1),2)))),"")</f>
        <v>-121.28</v>
      </c>
      <c r="T79" s="114">
        <f t="shared" ref="T79:T142" si="21">IFERROR(IF(W78="","",IF(W78&lt;=1,"",IF(N79="","",ROUND((-$I$6*$F$24),2)))),"")</f>
        <v>-357</v>
      </c>
      <c r="U79" s="114">
        <f t="shared" ref="U79:U142" si="22">IFERROR(IF(W78="","",IF(W78&lt;=1,"",IF(T79="","",ROUND((-$C$11),2)))),"")</f>
        <v>-27.32</v>
      </c>
      <c r="V79" s="114">
        <f t="shared" ref="V79:V142" si="23">IFERROR(IF(W78="","",IF(W78&lt;1,"",IF(N79="","",(R79+S79+T79+U79)))),"")</f>
        <v>-11139.59</v>
      </c>
      <c r="W79" s="114">
        <f t="shared" si="19"/>
        <v>548139.45050000004</v>
      </c>
    </row>
    <row r="80" spans="13:23" x14ac:dyDescent="0.25">
      <c r="M80" s="113"/>
      <c r="N80" s="109">
        <f t="shared" si="14"/>
        <v>67</v>
      </c>
      <c r="O80" s="110">
        <f t="shared" ca="1" si="15"/>
        <v>46366</v>
      </c>
      <c r="P80" s="114">
        <f t="shared" si="16"/>
        <v>-3150.23</v>
      </c>
      <c r="Q80" s="114">
        <f t="shared" si="17"/>
        <v>-7440.99</v>
      </c>
      <c r="R80" s="114">
        <f t="shared" si="18"/>
        <v>-10591.22</v>
      </c>
      <c r="S80" s="114">
        <f t="shared" si="20"/>
        <v>-120.59</v>
      </c>
      <c r="T80" s="114">
        <f t="shared" si="21"/>
        <v>-357</v>
      </c>
      <c r="U80" s="114">
        <f t="shared" si="22"/>
        <v>-27.32</v>
      </c>
      <c r="V80" s="114">
        <f t="shared" si="23"/>
        <v>-11096.13</v>
      </c>
      <c r="W80" s="114">
        <f t="shared" si="19"/>
        <v>544989.22350000008</v>
      </c>
    </row>
    <row r="81" spans="13:23" x14ac:dyDescent="0.25">
      <c r="M81" s="113"/>
      <c r="N81" s="109">
        <f t="shared" si="14"/>
        <v>68</v>
      </c>
      <c r="O81" s="110">
        <f t="shared" ca="1" si="15"/>
        <v>46397</v>
      </c>
      <c r="P81" s="114">
        <f t="shared" si="16"/>
        <v>-3150.23</v>
      </c>
      <c r="Q81" s="114">
        <f t="shared" si="17"/>
        <v>-7398.23</v>
      </c>
      <c r="R81" s="114">
        <f t="shared" si="18"/>
        <v>-10548.46</v>
      </c>
      <c r="S81" s="114">
        <f t="shared" si="20"/>
        <v>-119.9</v>
      </c>
      <c r="T81" s="114">
        <f t="shared" si="21"/>
        <v>-357</v>
      </c>
      <c r="U81" s="114">
        <f t="shared" si="22"/>
        <v>-27.32</v>
      </c>
      <c r="V81" s="114">
        <f t="shared" si="23"/>
        <v>-11052.679999999998</v>
      </c>
      <c r="W81" s="114">
        <f t="shared" si="19"/>
        <v>541838.9922000001</v>
      </c>
    </row>
    <row r="82" spans="13:23" x14ac:dyDescent="0.25">
      <c r="M82" s="113"/>
      <c r="N82" s="109">
        <f t="shared" ref="N82:N145" si="24">IF(OR(W81&lt;0.1,W81=""),"",N81+1)</f>
        <v>69</v>
      </c>
      <c r="O82" s="110">
        <f t="shared" ref="O82:O145" ca="1" si="25">IF(W82="","",IF(N82="","",EDATE(O81,1)))</f>
        <v>46428</v>
      </c>
      <c r="P82" s="114">
        <f t="shared" si="16"/>
        <v>-3150.23</v>
      </c>
      <c r="Q82" s="114">
        <f t="shared" si="17"/>
        <v>-7355.46</v>
      </c>
      <c r="R82" s="114">
        <f t="shared" si="18"/>
        <v>-10505.69</v>
      </c>
      <c r="S82" s="114">
        <f t="shared" si="20"/>
        <v>-119.2</v>
      </c>
      <c r="T82" s="114">
        <f t="shared" si="21"/>
        <v>-357</v>
      </c>
      <c r="U82" s="114">
        <f t="shared" si="22"/>
        <v>-27.32</v>
      </c>
      <c r="V82" s="114">
        <f t="shared" si="23"/>
        <v>-11009.210000000001</v>
      </c>
      <c r="W82" s="114">
        <f t="shared" si="19"/>
        <v>538688.76650000003</v>
      </c>
    </row>
    <row r="83" spans="13:23" x14ac:dyDescent="0.25">
      <c r="M83" s="113"/>
      <c r="N83" s="109">
        <f t="shared" si="24"/>
        <v>70</v>
      </c>
      <c r="O83" s="110">
        <f t="shared" ca="1" si="25"/>
        <v>46456</v>
      </c>
      <c r="P83" s="114">
        <f t="shared" si="16"/>
        <v>-3150.23</v>
      </c>
      <c r="Q83" s="114">
        <f t="shared" si="17"/>
        <v>-7312.7</v>
      </c>
      <c r="R83" s="114">
        <f t="shared" si="18"/>
        <v>-10462.93</v>
      </c>
      <c r="S83" s="114">
        <f t="shared" si="20"/>
        <v>-118.51</v>
      </c>
      <c r="T83" s="114">
        <f t="shared" si="21"/>
        <v>-357</v>
      </c>
      <c r="U83" s="114">
        <f t="shared" si="22"/>
        <v>-27.32</v>
      </c>
      <c r="V83" s="114">
        <f t="shared" si="23"/>
        <v>-10965.76</v>
      </c>
      <c r="W83" s="114">
        <f t="shared" si="19"/>
        <v>535538.53650000005</v>
      </c>
    </row>
    <row r="84" spans="13:23" x14ac:dyDescent="0.25">
      <c r="M84" s="113"/>
      <c r="N84" s="109">
        <f t="shared" si="24"/>
        <v>71</v>
      </c>
      <c r="O84" s="110">
        <f t="shared" ca="1" si="25"/>
        <v>46487</v>
      </c>
      <c r="P84" s="114">
        <f t="shared" si="16"/>
        <v>-3150.23</v>
      </c>
      <c r="Q84" s="114">
        <f t="shared" si="17"/>
        <v>-7269.94</v>
      </c>
      <c r="R84" s="114">
        <f t="shared" si="18"/>
        <v>-10420.17</v>
      </c>
      <c r="S84" s="114">
        <f t="shared" si="20"/>
        <v>-117.82</v>
      </c>
      <c r="T84" s="114">
        <f t="shared" si="21"/>
        <v>-357</v>
      </c>
      <c r="U84" s="114">
        <f t="shared" si="22"/>
        <v>-27.32</v>
      </c>
      <c r="V84" s="114">
        <f t="shared" si="23"/>
        <v>-10922.31</v>
      </c>
      <c r="W84" s="114">
        <f t="shared" si="19"/>
        <v>532388.30210000009</v>
      </c>
    </row>
    <row r="85" spans="13:23" x14ac:dyDescent="0.25">
      <c r="M85" s="113"/>
      <c r="N85" s="109">
        <f t="shared" si="24"/>
        <v>72</v>
      </c>
      <c r="O85" s="110">
        <f t="shared" ca="1" si="25"/>
        <v>46517</v>
      </c>
      <c r="P85" s="114">
        <f t="shared" si="16"/>
        <v>-3150.23</v>
      </c>
      <c r="Q85" s="114">
        <f t="shared" si="17"/>
        <v>-7227.17</v>
      </c>
      <c r="R85" s="114">
        <f t="shared" si="18"/>
        <v>-10377.4</v>
      </c>
      <c r="S85" s="114">
        <f t="shared" si="20"/>
        <v>-117.13</v>
      </c>
      <c r="T85" s="114">
        <f t="shared" si="21"/>
        <v>-357</v>
      </c>
      <c r="U85" s="114">
        <f t="shared" si="22"/>
        <v>-27.32</v>
      </c>
      <c r="V85" s="114">
        <f t="shared" si="23"/>
        <v>-10878.849999999999</v>
      </c>
      <c r="W85" s="114">
        <f t="shared" si="19"/>
        <v>529238.07329999993</v>
      </c>
    </row>
    <row r="86" spans="13:23" x14ac:dyDescent="0.25">
      <c r="M86" s="113"/>
      <c r="N86" s="109">
        <f t="shared" si="24"/>
        <v>73</v>
      </c>
      <c r="O86" s="110">
        <f t="shared" ca="1" si="25"/>
        <v>46548</v>
      </c>
      <c r="P86" s="114">
        <f t="shared" si="16"/>
        <v>-3150.23</v>
      </c>
      <c r="Q86" s="114">
        <f t="shared" si="17"/>
        <v>-7184.41</v>
      </c>
      <c r="R86" s="114">
        <f t="shared" si="18"/>
        <v>-10334.64</v>
      </c>
      <c r="S86" s="114">
        <f t="shared" si="20"/>
        <v>-116.43</v>
      </c>
      <c r="T86" s="114">
        <f t="shared" si="21"/>
        <v>-357</v>
      </c>
      <c r="U86" s="114">
        <f t="shared" si="22"/>
        <v>-27.32</v>
      </c>
      <c r="V86" s="114">
        <f t="shared" si="23"/>
        <v>-10835.39</v>
      </c>
      <c r="W86" s="114">
        <f t="shared" si="19"/>
        <v>526087.84010000003</v>
      </c>
    </row>
    <row r="87" spans="13:23" x14ac:dyDescent="0.25">
      <c r="M87" s="113"/>
      <c r="N87" s="109">
        <f t="shared" si="24"/>
        <v>74</v>
      </c>
      <c r="O87" s="110">
        <f t="shared" ca="1" si="25"/>
        <v>46578</v>
      </c>
      <c r="P87" s="114">
        <f t="shared" si="16"/>
        <v>-3150.23</v>
      </c>
      <c r="Q87" s="114">
        <f t="shared" si="17"/>
        <v>-7141.64</v>
      </c>
      <c r="R87" s="114">
        <f t="shared" si="18"/>
        <v>-10291.870000000001</v>
      </c>
      <c r="S87" s="114">
        <f t="shared" si="20"/>
        <v>-115.74</v>
      </c>
      <c r="T87" s="114">
        <f t="shared" si="21"/>
        <v>-357</v>
      </c>
      <c r="U87" s="114">
        <f t="shared" si="22"/>
        <v>-27.32</v>
      </c>
      <c r="V87" s="114">
        <f t="shared" si="23"/>
        <v>-10791.93</v>
      </c>
      <c r="W87" s="114">
        <f t="shared" si="19"/>
        <v>522937.61250000005</v>
      </c>
    </row>
    <row r="88" spans="13:23" x14ac:dyDescent="0.25">
      <c r="M88" s="113"/>
      <c r="N88" s="109">
        <f t="shared" si="24"/>
        <v>75</v>
      </c>
      <c r="O88" s="110">
        <f t="shared" ca="1" si="25"/>
        <v>46609</v>
      </c>
      <c r="P88" s="114">
        <f t="shared" si="16"/>
        <v>-3150.23</v>
      </c>
      <c r="Q88" s="114">
        <f t="shared" si="17"/>
        <v>-7098.88</v>
      </c>
      <c r="R88" s="114">
        <f t="shared" si="18"/>
        <v>-10249.11</v>
      </c>
      <c r="S88" s="114">
        <f t="shared" si="20"/>
        <v>-115.05</v>
      </c>
      <c r="T88" s="114">
        <f t="shared" si="21"/>
        <v>-357</v>
      </c>
      <c r="U88" s="114">
        <f t="shared" si="22"/>
        <v>-27.32</v>
      </c>
      <c r="V88" s="114">
        <f t="shared" si="23"/>
        <v>-10748.48</v>
      </c>
      <c r="W88" s="114">
        <f t="shared" si="19"/>
        <v>519787.38060000003</v>
      </c>
    </row>
    <row r="89" spans="13:23" x14ac:dyDescent="0.25">
      <c r="M89" s="113"/>
      <c r="N89" s="109">
        <f t="shared" si="24"/>
        <v>76</v>
      </c>
      <c r="O89" s="110">
        <f t="shared" ca="1" si="25"/>
        <v>46640</v>
      </c>
      <c r="P89" s="114">
        <f t="shared" si="16"/>
        <v>-3150.23</v>
      </c>
      <c r="Q89" s="114">
        <f t="shared" si="17"/>
        <v>-7056.11</v>
      </c>
      <c r="R89" s="114">
        <f t="shared" si="18"/>
        <v>-10206.34</v>
      </c>
      <c r="S89" s="114">
        <f t="shared" si="20"/>
        <v>-114.35</v>
      </c>
      <c r="T89" s="114">
        <f t="shared" si="21"/>
        <v>-357</v>
      </c>
      <c r="U89" s="114">
        <f t="shared" si="22"/>
        <v>-27.32</v>
      </c>
      <c r="V89" s="114">
        <f t="shared" si="23"/>
        <v>-10705.01</v>
      </c>
      <c r="W89" s="114">
        <f t="shared" si="19"/>
        <v>516637.15430000005</v>
      </c>
    </row>
    <row r="90" spans="13:23" x14ac:dyDescent="0.25">
      <c r="M90" s="113"/>
      <c r="N90" s="109">
        <f t="shared" si="24"/>
        <v>77</v>
      </c>
      <c r="O90" s="110">
        <f t="shared" ca="1" si="25"/>
        <v>46670</v>
      </c>
      <c r="P90" s="114">
        <f t="shared" si="16"/>
        <v>-3150.23</v>
      </c>
      <c r="Q90" s="114">
        <f t="shared" si="17"/>
        <v>-7013.35</v>
      </c>
      <c r="R90" s="114">
        <f t="shared" si="18"/>
        <v>-10163.58</v>
      </c>
      <c r="S90" s="114">
        <f t="shared" si="20"/>
        <v>-113.66</v>
      </c>
      <c r="T90" s="114">
        <f t="shared" si="21"/>
        <v>-357</v>
      </c>
      <c r="U90" s="114">
        <f t="shared" si="22"/>
        <v>-27.32</v>
      </c>
      <c r="V90" s="114">
        <f t="shared" si="23"/>
        <v>-10661.56</v>
      </c>
      <c r="W90" s="114">
        <f t="shared" si="19"/>
        <v>513486.92370000004</v>
      </c>
    </row>
    <row r="91" spans="13:23" x14ac:dyDescent="0.25">
      <c r="M91" s="113"/>
      <c r="N91" s="109">
        <f t="shared" si="24"/>
        <v>78</v>
      </c>
      <c r="O91" s="110">
        <f t="shared" ca="1" si="25"/>
        <v>46701</v>
      </c>
      <c r="P91" s="114">
        <f t="shared" si="16"/>
        <v>-3150.23</v>
      </c>
      <c r="Q91" s="114">
        <f t="shared" si="17"/>
        <v>-6970.58</v>
      </c>
      <c r="R91" s="114">
        <f t="shared" si="18"/>
        <v>-10120.81</v>
      </c>
      <c r="S91" s="114">
        <f t="shared" si="20"/>
        <v>-112.97</v>
      </c>
      <c r="T91" s="114">
        <f t="shared" si="21"/>
        <v>-357</v>
      </c>
      <c r="U91" s="114">
        <f t="shared" si="22"/>
        <v>-27.32</v>
      </c>
      <c r="V91" s="114">
        <f t="shared" si="23"/>
        <v>-10618.099999999999</v>
      </c>
      <c r="W91" s="114">
        <f t="shared" si="19"/>
        <v>510336.69870000001</v>
      </c>
    </row>
    <row r="92" spans="13:23" x14ac:dyDescent="0.25">
      <c r="M92" s="113"/>
      <c r="N92" s="109">
        <f t="shared" si="24"/>
        <v>79</v>
      </c>
      <c r="O92" s="110">
        <f t="shared" ca="1" si="25"/>
        <v>46731</v>
      </c>
      <c r="P92" s="114">
        <f t="shared" si="16"/>
        <v>-3150.23</v>
      </c>
      <c r="Q92" s="114">
        <f t="shared" si="17"/>
        <v>-6927.82</v>
      </c>
      <c r="R92" s="114">
        <f t="shared" si="18"/>
        <v>-10078.049999999999</v>
      </c>
      <c r="S92" s="114">
        <f t="shared" si="20"/>
        <v>-112.27</v>
      </c>
      <c r="T92" s="114">
        <f t="shared" si="21"/>
        <v>-357</v>
      </c>
      <c r="U92" s="114">
        <f t="shared" si="22"/>
        <v>-27.32</v>
      </c>
      <c r="V92" s="114">
        <f t="shared" si="23"/>
        <v>-10574.64</v>
      </c>
      <c r="W92" s="114">
        <f t="shared" si="19"/>
        <v>507186.4694</v>
      </c>
    </row>
    <row r="93" spans="13:23" x14ac:dyDescent="0.25">
      <c r="M93" s="113"/>
      <c r="N93" s="109">
        <f t="shared" si="24"/>
        <v>80</v>
      </c>
      <c r="O93" s="110">
        <f t="shared" ca="1" si="25"/>
        <v>46762</v>
      </c>
      <c r="P93" s="114">
        <f t="shared" si="16"/>
        <v>-3150.23</v>
      </c>
      <c r="Q93" s="114">
        <f t="shared" si="17"/>
        <v>-6885.06</v>
      </c>
      <c r="R93" s="114">
        <f t="shared" si="18"/>
        <v>-10035.290000000001</v>
      </c>
      <c r="S93" s="114">
        <f t="shared" si="20"/>
        <v>-111.58</v>
      </c>
      <c r="T93" s="114">
        <f t="shared" si="21"/>
        <v>-357</v>
      </c>
      <c r="U93" s="114">
        <f t="shared" si="22"/>
        <v>-27.32</v>
      </c>
      <c r="V93" s="114">
        <f t="shared" si="23"/>
        <v>-10531.19</v>
      </c>
      <c r="W93" s="114">
        <f t="shared" si="19"/>
        <v>504036.23570000002</v>
      </c>
    </row>
    <row r="94" spans="13:23" x14ac:dyDescent="0.25">
      <c r="M94" s="113"/>
      <c r="N94" s="109">
        <f t="shared" si="24"/>
        <v>81</v>
      </c>
      <c r="O94" s="110">
        <f t="shared" ca="1" si="25"/>
        <v>46793</v>
      </c>
      <c r="P94" s="114">
        <f t="shared" si="16"/>
        <v>-3150.23</v>
      </c>
      <c r="Q94" s="114">
        <f t="shared" si="17"/>
        <v>-6842.29</v>
      </c>
      <c r="R94" s="114">
        <f t="shared" si="18"/>
        <v>-9992.52</v>
      </c>
      <c r="S94" s="114">
        <f t="shared" si="20"/>
        <v>-110.89</v>
      </c>
      <c r="T94" s="114">
        <f t="shared" si="21"/>
        <v>-357</v>
      </c>
      <c r="U94" s="114">
        <f t="shared" si="22"/>
        <v>-27.32</v>
      </c>
      <c r="V94" s="114">
        <f t="shared" si="23"/>
        <v>-10487.73</v>
      </c>
      <c r="W94" s="114">
        <f t="shared" si="19"/>
        <v>500886.00760000001</v>
      </c>
    </row>
    <row r="95" spans="13:23" x14ac:dyDescent="0.25">
      <c r="M95" s="113"/>
      <c r="N95" s="109">
        <f t="shared" si="24"/>
        <v>82</v>
      </c>
      <c r="O95" s="110">
        <f t="shared" ca="1" si="25"/>
        <v>46822</v>
      </c>
      <c r="P95" s="114">
        <f t="shared" si="16"/>
        <v>-3150.23</v>
      </c>
      <c r="Q95" s="114">
        <f t="shared" si="17"/>
        <v>-6799.53</v>
      </c>
      <c r="R95" s="114">
        <f t="shared" si="18"/>
        <v>-9949.76</v>
      </c>
      <c r="S95" s="114">
        <f t="shared" si="20"/>
        <v>-110.19</v>
      </c>
      <c r="T95" s="114">
        <f t="shared" si="21"/>
        <v>-357</v>
      </c>
      <c r="U95" s="114">
        <f t="shared" si="22"/>
        <v>-27.32</v>
      </c>
      <c r="V95" s="114">
        <f t="shared" si="23"/>
        <v>-10444.27</v>
      </c>
      <c r="W95" s="114">
        <f t="shared" si="19"/>
        <v>497735.77519999997</v>
      </c>
    </row>
    <row r="96" spans="13:23" x14ac:dyDescent="0.25">
      <c r="M96" s="113"/>
      <c r="N96" s="109">
        <f t="shared" si="24"/>
        <v>83</v>
      </c>
      <c r="O96" s="110">
        <f t="shared" ca="1" si="25"/>
        <v>46853</v>
      </c>
      <c r="P96" s="114">
        <f t="shared" si="16"/>
        <v>-3150.23</v>
      </c>
      <c r="Q96" s="114">
        <f t="shared" si="17"/>
        <v>-6756.76</v>
      </c>
      <c r="R96" s="114">
        <f t="shared" si="18"/>
        <v>-9906.99</v>
      </c>
      <c r="S96" s="114">
        <f t="shared" si="20"/>
        <v>-109.5</v>
      </c>
      <c r="T96" s="114">
        <f t="shared" si="21"/>
        <v>-357</v>
      </c>
      <c r="U96" s="114">
        <f t="shared" si="22"/>
        <v>-27.32</v>
      </c>
      <c r="V96" s="114">
        <f t="shared" si="23"/>
        <v>-10400.81</v>
      </c>
      <c r="W96" s="114">
        <f t="shared" si="19"/>
        <v>494585.54830000002</v>
      </c>
    </row>
    <row r="97" spans="13:23" x14ac:dyDescent="0.25">
      <c r="M97" s="113"/>
      <c r="N97" s="109">
        <f t="shared" si="24"/>
        <v>84</v>
      </c>
      <c r="O97" s="110">
        <f t="shared" ca="1" si="25"/>
        <v>46883</v>
      </c>
      <c r="P97" s="114">
        <f t="shared" si="16"/>
        <v>-3150.23</v>
      </c>
      <c r="Q97" s="114">
        <f t="shared" si="17"/>
        <v>-6714</v>
      </c>
      <c r="R97" s="114">
        <f t="shared" si="18"/>
        <v>-9864.23</v>
      </c>
      <c r="S97" s="114">
        <f t="shared" si="20"/>
        <v>-108.81</v>
      </c>
      <c r="T97" s="114">
        <f t="shared" si="21"/>
        <v>-357</v>
      </c>
      <c r="U97" s="114">
        <f t="shared" si="22"/>
        <v>-27.32</v>
      </c>
      <c r="V97" s="114">
        <f t="shared" si="23"/>
        <v>-10357.359999999999</v>
      </c>
      <c r="W97" s="114">
        <f t="shared" si="19"/>
        <v>491435.31710000004</v>
      </c>
    </row>
    <row r="98" spans="13:23" x14ac:dyDescent="0.25">
      <c r="M98" s="113"/>
      <c r="N98" s="109">
        <f t="shared" si="24"/>
        <v>85</v>
      </c>
      <c r="O98" s="110">
        <f t="shared" ca="1" si="25"/>
        <v>46914</v>
      </c>
      <c r="P98" s="114">
        <f t="shared" si="16"/>
        <v>-3150.23</v>
      </c>
      <c r="Q98" s="114">
        <f t="shared" si="17"/>
        <v>-6671.23</v>
      </c>
      <c r="R98" s="114">
        <f t="shared" si="18"/>
        <v>-9821.4599999999991</v>
      </c>
      <c r="S98" s="114">
        <f t="shared" si="20"/>
        <v>-108.12</v>
      </c>
      <c r="T98" s="114">
        <f t="shared" si="21"/>
        <v>-357</v>
      </c>
      <c r="U98" s="114">
        <f t="shared" si="22"/>
        <v>-27.32</v>
      </c>
      <c r="V98" s="114">
        <f t="shared" si="23"/>
        <v>-10313.9</v>
      </c>
      <c r="W98" s="114">
        <f t="shared" si="19"/>
        <v>488285.09150000004</v>
      </c>
    </row>
    <row r="99" spans="13:23" x14ac:dyDescent="0.25">
      <c r="M99" s="113"/>
      <c r="N99" s="109">
        <f t="shared" si="24"/>
        <v>86</v>
      </c>
      <c r="O99" s="110">
        <f t="shared" ca="1" si="25"/>
        <v>46944</v>
      </c>
      <c r="P99" s="114">
        <f t="shared" si="16"/>
        <v>-3150.23</v>
      </c>
      <c r="Q99" s="114">
        <f t="shared" si="17"/>
        <v>-6628.47</v>
      </c>
      <c r="R99" s="114">
        <f t="shared" si="18"/>
        <v>-9778.7000000000007</v>
      </c>
      <c r="S99" s="114">
        <f t="shared" si="20"/>
        <v>-107.42</v>
      </c>
      <c r="T99" s="114">
        <f t="shared" si="21"/>
        <v>-357</v>
      </c>
      <c r="U99" s="114">
        <f t="shared" si="22"/>
        <v>-27.32</v>
      </c>
      <c r="V99" s="114">
        <f t="shared" si="23"/>
        <v>-10270.44</v>
      </c>
      <c r="W99" s="114">
        <f t="shared" si="19"/>
        <v>485134.86160000006</v>
      </c>
    </row>
    <row r="100" spans="13:23" x14ac:dyDescent="0.25">
      <c r="M100" s="113"/>
      <c r="N100" s="109">
        <f t="shared" si="24"/>
        <v>87</v>
      </c>
      <c r="O100" s="110">
        <f t="shared" ca="1" si="25"/>
        <v>46975</v>
      </c>
      <c r="P100" s="114">
        <f t="shared" si="16"/>
        <v>-3150.23</v>
      </c>
      <c r="Q100" s="114">
        <f t="shared" si="17"/>
        <v>-6585.71</v>
      </c>
      <c r="R100" s="114">
        <f t="shared" si="18"/>
        <v>-9735.94</v>
      </c>
      <c r="S100" s="114">
        <f t="shared" si="20"/>
        <v>-106.73</v>
      </c>
      <c r="T100" s="114">
        <f t="shared" si="21"/>
        <v>-357</v>
      </c>
      <c r="U100" s="114">
        <f t="shared" si="22"/>
        <v>-27.32</v>
      </c>
      <c r="V100" s="114">
        <f t="shared" si="23"/>
        <v>-10226.99</v>
      </c>
      <c r="W100" s="114">
        <f t="shared" si="19"/>
        <v>481984.62729999999</v>
      </c>
    </row>
    <row r="101" spans="13:23" x14ac:dyDescent="0.25">
      <c r="M101" s="113"/>
      <c r="N101" s="109">
        <f t="shared" si="24"/>
        <v>88</v>
      </c>
      <c r="O101" s="110">
        <f t="shared" ca="1" si="25"/>
        <v>47006</v>
      </c>
      <c r="P101" s="114">
        <f t="shared" si="16"/>
        <v>-3150.23</v>
      </c>
      <c r="Q101" s="114">
        <f t="shared" si="17"/>
        <v>-6542.94</v>
      </c>
      <c r="R101" s="114">
        <f t="shared" si="18"/>
        <v>-9693.17</v>
      </c>
      <c r="S101" s="114">
        <f t="shared" si="20"/>
        <v>-106.04</v>
      </c>
      <c r="T101" s="114">
        <f t="shared" si="21"/>
        <v>-357</v>
      </c>
      <c r="U101" s="114">
        <f t="shared" si="22"/>
        <v>-27.32</v>
      </c>
      <c r="V101" s="114">
        <f t="shared" si="23"/>
        <v>-10183.530000000001</v>
      </c>
      <c r="W101" s="114">
        <f t="shared" si="19"/>
        <v>478834.39860000001</v>
      </c>
    </row>
    <row r="102" spans="13:23" x14ac:dyDescent="0.25">
      <c r="M102" s="113"/>
      <c r="N102" s="109">
        <f t="shared" si="24"/>
        <v>89</v>
      </c>
      <c r="O102" s="110">
        <f t="shared" ca="1" si="25"/>
        <v>47036</v>
      </c>
      <c r="P102" s="114">
        <f t="shared" si="16"/>
        <v>-3150.23</v>
      </c>
      <c r="Q102" s="114">
        <f t="shared" si="17"/>
        <v>-6500.18</v>
      </c>
      <c r="R102" s="114">
        <f t="shared" si="18"/>
        <v>-9650.41</v>
      </c>
      <c r="S102" s="114">
        <f t="shared" si="20"/>
        <v>-105.34</v>
      </c>
      <c r="T102" s="114">
        <f t="shared" si="21"/>
        <v>-357</v>
      </c>
      <c r="U102" s="114">
        <f t="shared" si="22"/>
        <v>-27.32</v>
      </c>
      <c r="V102" s="114">
        <f t="shared" si="23"/>
        <v>-10140.07</v>
      </c>
      <c r="W102" s="114">
        <f t="shared" si="19"/>
        <v>475684.16560000001</v>
      </c>
    </row>
    <row r="103" spans="13:23" x14ac:dyDescent="0.25">
      <c r="M103" s="113"/>
      <c r="N103" s="109">
        <f t="shared" si="24"/>
        <v>90</v>
      </c>
      <c r="O103" s="110">
        <f t="shared" ca="1" si="25"/>
        <v>47067</v>
      </c>
      <c r="P103" s="114">
        <f t="shared" si="16"/>
        <v>-3150.23</v>
      </c>
      <c r="Q103" s="114">
        <f t="shared" si="17"/>
        <v>-6457.41</v>
      </c>
      <c r="R103" s="114">
        <f t="shared" si="18"/>
        <v>-9607.64</v>
      </c>
      <c r="S103" s="114">
        <f t="shared" si="20"/>
        <v>-104.65</v>
      </c>
      <c r="T103" s="114">
        <f t="shared" si="21"/>
        <v>-357</v>
      </c>
      <c r="U103" s="114">
        <f t="shared" si="22"/>
        <v>-27.32</v>
      </c>
      <c r="V103" s="114">
        <f t="shared" si="23"/>
        <v>-10096.609999999999</v>
      </c>
      <c r="W103" s="114">
        <f t="shared" si="19"/>
        <v>472533.93810000003</v>
      </c>
    </row>
    <row r="104" spans="13:23" x14ac:dyDescent="0.25">
      <c r="M104" s="113"/>
      <c r="N104" s="109">
        <f t="shared" si="24"/>
        <v>91</v>
      </c>
      <c r="O104" s="110">
        <f t="shared" ca="1" si="25"/>
        <v>47097</v>
      </c>
      <c r="P104" s="114">
        <f t="shared" si="16"/>
        <v>-3150.23</v>
      </c>
      <c r="Q104" s="114">
        <f t="shared" si="17"/>
        <v>-6414.65</v>
      </c>
      <c r="R104" s="114">
        <f t="shared" si="18"/>
        <v>-9564.8799999999992</v>
      </c>
      <c r="S104" s="114">
        <f t="shared" si="20"/>
        <v>-103.96</v>
      </c>
      <c r="T104" s="114">
        <f t="shared" si="21"/>
        <v>-357</v>
      </c>
      <c r="U104" s="114">
        <f t="shared" si="22"/>
        <v>-27.32</v>
      </c>
      <c r="V104" s="114">
        <f t="shared" si="23"/>
        <v>-10053.159999999998</v>
      </c>
      <c r="W104" s="114">
        <f t="shared" si="19"/>
        <v>469383.70630000002</v>
      </c>
    </row>
    <row r="105" spans="13:23" x14ac:dyDescent="0.25">
      <c r="M105" s="113"/>
      <c r="N105" s="109">
        <f t="shared" si="24"/>
        <v>92</v>
      </c>
      <c r="O105" s="110">
        <f t="shared" ca="1" si="25"/>
        <v>47128</v>
      </c>
      <c r="P105" s="114">
        <f t="shared" si="16"/>
        <v>-3150.23</v>
      </c>
      <c r="Q105" s="114">
        <f t="shared" si="17"/>
        <v>-6371.88</v>
      </c>
      <c r="R105" s="114">
        <f t="shared" si="18"/>
        <v>-9522.11</v>
      </c>
      <c r="S105" s="114">
        <f t="shared" si="20"/>
        <v>-103.26</v>
      </c>
      <c r="T105" s="114">
        <f t="shared" si="21"/>
        <v>-357</v>
      </c>
      <c r="U105" s="114">
        <f t="shared" si="22"/>
        <v>-27.32</v>
      </c>
      <c r="V105" s="114">
        <f t="shared" si="23"/>
        <v>-10009.69</v>
      </c>
      <c r="W105" s="114">
        <f t="shared" si="19"/>
        <v>466233.48009999999</v>
      </c>
    </row>
    <row r="106" spans="13:23" x14ac:dyDescent="0.25">
      <c r="M106" s="113"/>
      <c r="N106" s="109">
        <f t="shared" si="24"/>
        <v>93</v>
      </c>
      <c r="O106" s="110">
        <f t="shared" ca="1" si="25"/>
        <v>47159</v>
      </c>
      <c r="P106" s="114">
        <f t="shared" si="16"/>
        <v>-3150.23</v>
      </c>
      <c r="Q106" s="114">
        <f t="shared" si="17"/>
        <v>-6329.12</v>
      </c>
      <c r="R106" s="114">
        <f t="shared" si="18"/>
        <v>-9479.35</v>
      </c>
      <c r="S106" s="114">
        <f t="shared" si="20"/>
        <v>-102.57</v>
      </c>
      <c r="T106" s="114">
        <f t="shared" si="21"/>
        <v>-357</v>
      </c>
      <c r="U106" s="114">
        <f t="shared" si="22"/>
        <v>-27.32</v>
      </c>
      <c r="V106" s="114">
        <f t="shared" si="23"/>
        <v>-9966.24</v>
      </c>
      <c r="W106" s="114">
        <f t="shared" si="19"/>
        <v>463083.24960000004</v>
      </c>
    </row>
    <row r="107" spans="13:23" x14ac:dyDescent="0.25">
      <c r="M107" s="113"/>
      <c r="N107" s="109">
        <f t="shared" si="24"/>
        <v>94</v>
      </c>
      <c r="O107" s="110">
        <f t="shared" ca="1" si="25"/>
        <v>47187</v>
      </c>
      <c r="P107" s="114">
        <f t="shared" si="16"/>
        <v>-3150.23</v>
      </c>
      <c r="Q107" s="114">
        <f t="shared" si="17"/>
        <v>-6286.36</v>
      </c>
      <c r="R107" s="114">
        <f t="shared" si="18"/>
        <v>-9436.59</v>
      </c>
      <c r="S107" s="114">
        <f t="shared" si="20"/>
        <v>-101.88</v>
      </c>
      <c r="T107" s="114">
        <f t="shared" si="21"/>
        <v>-357</v>
      </c>
      <c r="U107" s="114">
        <f t="shared" si="22"/>
        <v>-27.32</v>
      </c>
      <c r="V107" s="114">
        <f t="shared" si="23"/>
        <v>-9922.7899999999991</v>
      </c>
      <c r="W107" s="114">
        <f t="shared" si="19"/>
        <v>459933.01470000006</v>
      </c>
    </row>
    <row r="108" spans="13:23" x14ac:dyDescent="0.25">
      <c r="M108" s="113"/>
      <c r="N108" s="109">
        <f t="shared" si="24"/>
        <v>95</v>
      </c>
      <c r="O108" s="110">
        <f t="shared" ca="1" si="25"/>
        <v>47218</v>
      </c>
      <c r="P108" s="114">
        <f t="shared" si="16"/>
        <v>-3150.23</v>
      </c>
      <c r="Q108" s="114">
        <f t="shared" si="17"/>
        <v>-6243.59</v>
      </c>
      <c r="R108" s="114">
        <f t="shared" si="18"/>
        <v>-9393.82</v>
      </c>
      <c r="S108" s="114">
        <f t="shared" si="20"/>
        <v>-101.19</v>
      </c>
      <c r="T108" s="114">
        <f t="shared" si="21"/>
        <v>-357</v>
      </c>
      <c r="U108" s="114">
        <f t="shared" si="22"/>
        <v>-27.32</v>
      </c>
      <c r="V108" s="114">
        <f t="shared" si="23"/>
        <v>-9879.33</v>
      </c>
      <c r="W108" s="114">
        <f t="shared" si="19"/>
        <v>456782.78539999999</v>
      </c>
    </row>
    <row r="109" spans="13:23" x14ac:dyDescent="0.25">
      <c r="M109" s="113"/>
      <c r="N109" s="109">
        <f t="shared" si="24"/>
        <v>96</v>
      </c>
      <c r="O109" s="110">
        <f t="shared" ca="1" si="25"/>
        <v>47248</v>
      </c>
      <c r="P109" s="114">
        <f t="shared" si="16"/>
        <v>-3150.23</v>
      </c>
      <c r="Q109" s="114">
        <f t="shared" si="17"/>
        <v>-6200.83</v>
      </c>
      <c r="R109" s="114">
        <f t="shared" si="18"/>
        <v>-9351.06</v>
      </c>
      <c r="S109" s="114">
        <f t="shared" si="20"/>
        <v>-100.49</v>
      </c>
      <c r="T109" s="114">
        <f t="shared" si="21"/>
        <v>-357</v>
      </c>
      <c r="U109" s="114">
        <f t="shared" si="22"/>
        <v>-27.32</v>
      </c>
      <c r="V109" s="114">
        <f t="shared" si="23"/>
        <v>-9835.869999999999</v>
      </c>
      <c r="W109" s="114">
        <f t="shared" si="19"/>
        <v>453632.55170000001</v>
      </c>
    </row>
    <row r="110" spans="13:23" x14ac:dyDescent="0.25">
      <c r="M110" s="113"/>
      <c r="N110" s="109">
        <f t="shared" si="24"/>
        <v>97</v>
      </c>
      <c r="O110" s="110">
        <f t="shared" ca="1" si="25"/>
        <v>47279</v>
      </c>
      <c r="P110" s="114">
        <f t="shared" si="16"/>
        <v>-3150.23</v>
      </c>
      <c r="Q110" s="114">
        <f t="shared" si="17"/>
        <v>-6158.06</v>
      </c>
      <c r="R110" s="114">
        <f t="shared" si="18"/>
        <v>-9308.2900000000009</v>
      </c>
      <c r="S110" s="114">
        <f t="shared" si="20"/>
        <v>-99.8</v>
      </c>
      <c r="T110" s="114">
        <f t="shared" si="21"/>
        <v>-357</v>
      </c>
      <c r="U110" s="114">
        <f t="shared" si="22"/>
        <v>-27.32</v>
      </c>
      <c r="V110" s="114">
        <f t="shared" si="23"/>
        <v>-9792.41</v>
      </c>
      <c r="W110" s="114">
        <f t="shared" si="19"/>
        <v>450482.3236</v>
      </c>
    </row>
    <row r="111" spans="13:23" x14ac:dyDescent="0.25">
      <c r="M111" s="113"/>
      <c r="N111" s="109">
        <f t="shared" si="24"/>
        <v>98</v>
      </c>
      <c r="O111" s="110">
        <f t="shared" ca="1" si="25"/>
        <v>47309</v>
      </c>
      <c r="P111" s="114">
        <f t="shared" si="16"/>
        <v>-3150.23</v>
      </c>
      <c r="Q111" s="114">
        <f t="shared" si="17"/>
        <v>-6115.3</v>
      </c>
      <c r="R111" s="114">
        <f t="shared" si="18"/>
        <v>-9265.5300000000007</v>
      </c>
      <c r="S111" s="114">
        <f t="shared" si="20"/>
        <v>-99.11</v>
      </c>
      <c r="T111" s="114">
        <f t="shared" si="21"/>
        <v>-357</v>
      </c>
      <c r="U111" s="114">
        <f t="shared" si="22"/>
        <v>-27.32</v>
      </c>
      <c r="V111" s="114">
        <f t="shared" si="23"/>
        <v>-9748.9600000000009</v>
      </c>
      <c r="W111" s="114">
        <f t="shared" si="19"/>
        <v>447332.09110000002</v>
      </c>
    </row>
    <row r="112" spans="13:23" x14ac:dyDescent="0.25">
      <c r="M112" s="113"/>
      <c r="N112" s="109">
        <f t="shared" si="24"/>
        <v>99</v>
      </c>
      <c r="O112" s="110">
        <f t="shared" ca="1" si="25"/>
        <v>47340</v>
      </c>
      <c r="P112" s="114">
        <f t="shared" si="16"/>
        <v>-3150.23</v>
      </c>
      <c r="Q112" s="114">
        <f t="shared" si="17"/>
        <v>-6072.53</v>
      </c>
      <c r="R112" s="114">
        <f t="shared" si="18"/>
        <v>-9222.76</v>
      </c>
      <c r="S112" s="114">
        <f t="shared" si="20"/>
        <v>-98.41</v>
      </c>
      <c r="T112" s="114">
        <f t="shared" si="21"/>
        <v>-357</v>
      </c>
      <c r="U112" s="114">
        <f t="shared" si="22"/>
        <v>-27.32</v>
      </c>
      <c r="V112" s="114">
        <f t="shared" si="23"/>
        <v>-9705.49</v>
      </c>
      <c r="W112" s="114">
        <f t="shared" si="19"/>
        <v>444181.86420000001</v>
      </c>
    </row>
    <row r="113" spans="13:23" x14ac:dyDescent="0.25">
      <c r="M113" s="113"/>
      <c r="N113" s="109">
        <f t="shared" si="24"/>
        <v>100</v>
      </c>
      <c r="O113" s="110">
        <f t="shared" ca="1" si="25"/>
        <v>47371</v>
      </c>
      <c r="P113" s="114">
        <f t="shared" si="16"/>
        <v>-3150.23</v>
      </c>
      <c r="Q113" s="114">
        <f t="shared" si="17"/>
        <v>-6029.77</v>
      </c>
      <c r="R113" s="114">
        <f t="shared" si="18"/>
        <v>-9180</v>
      </c>
      <c r="S113" s="114">
        <f t="shared" si="20"/>
        <v>-97.72</v>
      </c>
      <c r="T113" s="114">
        <f t="shared" si="21"/>
        <v>-357</v>
      </c>
      <c r="U113" s="114">
        <f t="shared" si="22"/>
        <v>-27.32</v>
      </c>
      <c r="V113" s="114">
        <f t="shared" si="23"/>
        <v>-9662.0399999999991</v>
      </c>
      <c r="W113" s="114">
        <f t="shared" si="19"/>
        <v>441031.63299999997</v>
      </c>
    </row>
    <row r="114" spans="13:23" x14ac:dyDescent="0.25">
      <c r="M114" s="113"/>
      <c r="N114" s="109">
        <f t="shared" si="24"/>
        <v>101</v>
      </c>
      <c r="O114" s="110">
        <f t="shared" ca="1" si="25"/>
        <v>47401</v>
      </c>
      <c r="P114" s="114">
        <f t="shared" si="16"/>
        <v>-3150.23</v>
      </c>
      <c r="Q114" s="114">
        <f t="shared" si="17"/>
        <v>-5987</v>
      </c>
      <c r="R114" s="114">
        <f t="shared" si="18"/>
        <v>-9137.23</v>
      </c>
      <c r="S114" s="114">
        <f t="shared" si="20"/>
        <v>-97.03</v>
      </c>
      <c r="T114" s="114">
        <f t="shared" si="21"/>
        <v>-357</v>
      </c>
      <c r="U114" s="114">
        <f t="shared" si="22"/>
        <v>-27.32</v>
      </c>
      <c r="V114" s="114">
        <f t="shared" si="23"/>
        <v>-9618.58</v>
      </c>
      <c r="W114" s="114">
        <f t="shared" si="19"/>
        <v>437881.40740000003</v>
      </c>
    </row>
    <row r="115" spans="13:23" x14ac:dyDescent="0.25">
      <c r="M115" s="113"/>
      <c r="N115" s="109">
        <f t="shared" si="24"/>
        <v>102</v>
      </c>
      <c r="O115" s="110">
        <f t="shared" ca="1" si="25"/>
        <v>47432</v>
      </c>
      <c r="P115" s="114">
        <f t="shared" si="16"/>
        <v>-3150.23</v>
      </c>
      <c r="Q115" s="114">
        <f t="shared" si="17"/>
        <v>-5944.24</v>
      </c>
      <c r="R115" s="114">
        <f t="shared" si="18"/>
        <v>-9094.4699999999993</v>
      </c>
      <c r="S115" s="114">
        <f t="shared" si="20"/>
        <v>-96.33</v>
      </c>
      <c r="T115" s="114">
        <f t="shared" si="21"/>
        <v>-357</v>
      </c>
      <c r="U115" s="114">
        <f t="shared" si="22"/>
        <v>-27.32</v>
      </c>
      <c r="V115" s="114">
        <f t="shared" si="23"/>
        <v>-9575.119999999999</v>
      </c>
      <c r="W115" s="114">
        <f t="shared" si="19"/>
        <v>434731.17750000005</v>
      </c>
    </row>
    <row r="116" spans="13:23" x14ac:dyDescent="0.25">
      <c r="M116" s="113"/>
      <c r="N116" s="109">
        <f t="shared" si="24"/>
        <v>103</v>
      </c>
      <c r="O116" s="110">
        <f t="shared" ca="1" si="25"/>
        <v>47462</v>
      </c>
      <c r="P116" s="114">
        <f t="shared" si="16"/>
        <v>-3150.23</v>
      </c>
      <c r="Q116" s="114">
        <f t="shared" si="17"/>
        <v>-5901.48</v>
      </c>
      <c r="R116" s="114">
        <f t="shared" si="18"/>
        <v>-9051.7099999999991</v>
      </c>
      <c r="S116" s="114">
        <f t="shared" si="20"/>
        <v>-95.64</v>
      </c>
      <c r="T116" s="114">
        <f t="shared" si="21"/>
        <v>-357</v>
      </c>
      <c r="U116" s="114">
        <f t="shared" si="22"/>
        <v>-27.32</v>
      </c>
      <c r="V116" s="114">
        <f t="shared" si="23"/>
        <v>-9531.6699999999983</v>
      </c>
      <c r="W116" s="114">
        <f t="shared" si="19"/>
        <v>431580.94320000004</v>
      </c>
    </row>
    <row r="117" spans="13:23" x14ac:dyDescent="0.25">
      <c r="M117" s="113"/>
      <c r="N117" s="109">
        <f t="shared" si="24"/>
        <v>104</v>
      </c>
      <c r="O117" s="110">
        <f t="shared" ca="1" si="25"/>
        <v>47493</v>
      </c>
      <c r="P117" s="114">
        <f t="shared" si="16"/>
        <v>-3150.23</v>
      </c>
      <c r="Q117" s="114">
        <f t="shared" si="17"/>
        <v>-5858.71</v>
      </c>
      <c r="R117" s="114">
        <f t="shared" si="18"/>
        <v>-9008.94</v>
      </c>
      <c r="S117" s="114">
        <f t="shared" si="20"/>
        <v>-94.95</v>
      </c>
      <c r="T117" s="114">
        <f t="shared" si="21"/>
        <v>-357</v>
      </c>
      <c r="U117" s="114">
        <f t="shared" si="22"/>
        <v>-27.32</v>
      </c>
      <c r="V117" s="114">
        <f t="shared" si="23"/>
        <v>-9488.2100000000009</v>
      </c>
      <c r="W117" s="114">
        <f t="shared" si="19"/>
        <v>428430.7145</v>
      </c>
    </row>
    <row r="118" spans="13:23" x14ac:dyDescent="0.25">
      <c r="M118" s="113"/>
      <c r="N118" s="109">
        <f t="shared" si="24"/>
        <v>105</v>
      </c>
      <c r="O118" s="110">
        <f t="shared" ca="1" si="25"/>
        <v>47524</v>
      </c>
      <c r="P118" s="114">
        <f t="shared" si="16"/>
        <v>-3150.23</v>
      </c>
      <c r="Q118" s="114">
        <f t="shared" si="17"/>
        <v>-5815.95</v>
      </c>
      <c r="R118" s="114">
        <f t="shared" si="18"/>
        <v>-8966.18</v>
      </c>
      <c r="S118" s="114">
        <f t="shared" si="20"/>
        <v>-94.25</v>
      </c>
      <c r="T118" s="114">
        <f t="shared" si="21"/>
        <v>-357</v>
      </c>
      <c r="U118" s="114">
        <f t="shared" si="22"/>
        <v>-27.32</v>
      </c>
      <c r="V118" s="114">
        <f t="shared" si="23"/>
        <v>-9444.75</v>
      </c>
      <c r="W118" s="114">
        <f t="shared" si="19"/>
        <v>425280.48139999999</v>
      </c>
    </row>
    <row r="119" spans="13:23" x14ac:dyDescent="0.25">
      <c r="M119" s="113"/>
      <c r="N119" s="109">
        <f t="shared" si="24"/>
        <v>106</v>
      </c>
      <c r="O119" s="110">
        <f t="shared" ca="1" si="25"/>
        <v>47552</v>
      </c>
      <c r="P119" s="114">
        <f t="shared" si="16"/>
        <v>-3150.23</v>
      </c>
      <c r="Q119" s="114">
        <f t="shared" si="17"/>
        <v>-5773.18</v>
      </c>
      <c r="R119" s="114">
        <f t="shared" si="18"/>
        <v>-8923.41</v>
      </c>
      <c r="S119" s="114">
        <f t="shared" si="20"/>
        <v>-93.56</v>
      </c>
      <c r="T119" s="114">
        <f t="shared" si="21"/>
        <v>-357</v>
      </c>
      <c r="U119" s="114">
        <f t="shared" si="22"/>
        <v>-27.32</v>
      </c>
      <c r="V119" s="114">
        <f t="shared" si="23"/>
        <v>-9401.2899999999991</v>
      </c>
      <c r="W119" s="114">
        <f t="shared" si="19"/>
        <v>422130.25390000001</v>
      </c>
    </row>
    <row r="120" spans="13:23" x14ac:dyDescent="0.25">
      <c r="M120" s="113"/>
      <c r="N120" s="109">
        <f t="shared" si="24"/>
        <v>107</v>
      </c>
      <c r="O120" s="110">
        <f t="shared" ca="1" si="25"/>
        <v>47583</v>
      </c>
      <c r="P120" s="114">
        <f t="shared" si="16"/>
        <v>-3150.23</v>
      </c>
      <c r="Q120" s="114">
        <f t="shared" si="17"/>
        <v>-5730.42</v>
      </c>
      <c r="R120" s="114">
        <f t="shared" si="18"/>
        <v>-8880.65</v>
      </c>
      <c r="S120" s="114">
        <f t="shared" si="20"/>
        <v>-92.87</v>
      </c>
      <c r="T120" s="114">
        <f t="shared" si="21"/>
        <v>-357</v>
      </c>
      <c r="U120" s="114">
        <f t="shared" si="22"/>
        <v>-27.32</v>
      </c>
      <c r="V120" s="114">
        <f t="shared" si="23"/>
        <v>-9357.84</v>
      </c>
      <c r="W120" s="114">
        <f t="shared" si="19"/>
        <v>418980.02210000006</v>
      </c>
    </row>
    <row r="121" spans="13:23" x14ac:dyDescent="0.25">
      <c r="M121" s="113"/>
      <c r="N121" s="109">
        <f t="shared" si="24"/>
        <v>108</v>
      </c>
      <c r="O121" s="110">
        <f t="shared" ca="1" si="25"/>
        <v>47613</v>
      </c>
      <c r="P121" s="114">
        <f t="shared" si="16"/>
        <v>-3150.23</v>
      </c>
      <c r="Q121" s="114">
        <f t="shared" si="17"/>
        <v>-5687.65</v>
      </c>
      <c r="R121" s="114">
        <f t="shared" si="18"/>
        <v>-8837.8799999999992</v>
      </c>
      <c r="S121" s="114">
        <f t="shared" si="20"/>
        <v>-92.18</v>
      </c>
      <c r="T121" s="114">
        <f t="shared" si="21"/>
        <v>-357</v>
      </c>
      <c r="U121" s="114">
        <f t="shared" si="22"/>
        <v>-27.32</v>
      </c>
      <c r="V121" s="114">
        <f t="shared" si="23"/>
        <v>-9314.3799999999992</v>
      </c>
      <c r="W121" s="114">
        <f t="shared" si="19"/>
        <v>415829.79589999997</v>
      </c>
    </row>
    <row r="122" spans="13:23" x14ac:dyDescent="0.25">
      <c r="M122" s="113"/>
      <c r="N122" s="109">
        <f t="shared" si="24"/>
        <v>109</v>
      </c>
      <c r="O122" s="110">
        <f t="shared" ca="1" si="25"/>
        <v>47644</v>
      </c>
      <c r="P122" s="114">
        <f t="shared" si="16"/>
        <v>-3150.23</v>
      </c>
      <c r="Q122" s="114">
        <f t="shared" si="17"/>
        <v>-5644.89</v>
      </c>
      <c r="R122" s="114">
        <f t="shared" si="18"/>
        <v>-8795.1200000000008</v>
      </c>
      <c r="S122" s="114">
        <f t="shared" si="20"/>
        <v>-91.48</v>
      </c>
      <c r="T122" s="114">
        <f t="shared" si="21"/>
        <v>-357</v>
      </c>
      <c r="U122" s="114">
        <f t="shared" si="22"/>
        <v>-27.32</v>
      </c>
      <c r="V122" s="114">
        <f t="shared" si="23"/>
        <v>-9270.92</v>
      </c>
      <c r="W122" s="114">
        <f t="shared" si="19"/>
        <v>412679.56540000002</v>
      </c>
    </row>
    <row r="123" spans="13:23" x14ac:dyDescent="0.25">
      <c r="M123" s="113"/>
      <c r="N123" s="109">
        <f t="shared" si="24"/>
        <v>110</v>
      </c>
      <c r="O123" s="110">
        <f t="shared" ca="1" si="25"/>
        <v>47674</v>
      </c>
      <c r="P123" s="114">
        <f t="shared" si="16"/>
        <v>-3150.23</v>
      </c>
      <c r="Q123" s="114">
        <f t="shared" si="17"/>
        <v>-5602.13</v>
      </c>
      <c r="R123" s="114">
        <f t="shared" si="18"/>
        <v>-8752.36</v>
      </c>
      <c r="S123" s="114">
        <f t="shared" si="20"/>
        <v>-90.79</v>
      </c>
      <c r="T123" s="114">
        <f t="shared" si="21"/>
        <v>-357</v>
      </c>
      <c r="U123" s="114">
        <f t="shared" si="22"/>
        <v>-27.32</v>
      </c>
      <c r="V123" s="114">
        <f t="shared" si="23"/>
        <v>-9227.4700000000012</v>
      </c>
      <c r="W123" s="114">
        <f t="shared" si="19"/>
        <v>409529.33050000004</v>
      </c>
    </row>
    <row r="124" spans="13:23" x14ac:dyDescent="0.25">
      <c r="M124" s="113"/>
      <c r="N124" s="109">
        <f t="shared" si="24"/>
        <v>111</v>
      </c>
      <c r="O124" s="110">
        <f t="shared" ca="1" si="25"/>
        <v>47705</v>
      </c>
      <c r="P124" s="114">
        <f t="shared" si="16"/>
        <v>-3150.23</v>
      </c>
      <c r="Q124" s="114">
        <f t="shared" si="17"/>
        <v>-5559.36</v>
      </c>
      <c r="R124" s="114">
        <f t="shared" si="18"/>
        <v>-8709.59</v>
      </c>
      <c r="S124" s="114">
        <f t="shared" si="20"/>
        <v>-90.1</v>
      </c>
      <c r="T124" s="114">
        <f t="shared" si="21"/>
        <v>-357</v>
      </c>
      <c r="U124" s="114">
        <f t="shared" si="22"/>
        <v>-27.32</v>
      </c>
      <c r="V124" s="114">
        <f t="shared" si="23"/>
        <v>-9184.01</v>
      </c>
      <c r="W124" s="114">
        <f t="shared" si="19"/>
        <v>406379.10120000003</v>
      </c>
    </row>
    <row r="125" spans="13:23" x14ac:dyDescent="0.25">
      <c r="M125" s="113"/>
      <c r="N125" s="109">
        <f t="shared" si="24"/>
        <v>112</v>
      </c>
      <c r="O125" s="110">
        <f t="shared" ca="1" si="25"/>
        <v>47736</v>
      </c>
      <c r="P125" s="114">
        <f t="shared" si="16"/>
        <v>-3150.23</v>
      </c>
      <c r="Q125" s="114">
        <f t="shared" si="17"/>
        <v>-5516.6</v>
      </c>
      <c r="R125" s="114">
        <f t="shared" si="18"/>
        <v>-8666.83</v>
      </c>
      <c r="S125" s="114">
        <f t="shared" si="20"/>
        <v>-89.4</v>
      </c>
      <c r="T125" s="114">
        <f t="shared" si="21"/>
        <v>-357</v>
      </c>
      <c r="U125" s="114">
        <f t="shared" si="22"/>
        <v>-27.32</v>
      </c>
      <c r="V125" s="114">
        <f t="shared" si="23"/>
        <v>-9140.5499999999993</v>
      </c>
      <c r="W125" s="114">
        <f t="shared" si="19"/>
        <v>403228.86750000005</v>
      </c>
    </row>
    <row r="126" spans="13:23" x14ac:dyDescent="0.25">
      <c r="M126" s="113"/>
      <c r="N126" s="109">
        <f t="shared" si="24"/>
        <v>113</v>
      </c>
      <c r="O126" s="110">
        <f t="shared" ca="1" si="25"/>
        <v>47766</v>
      </c>
      <c r="P126" s="114">
        <f t="shared" si="16"/>
        <v>-3150.23</v>
      </c>
      <c r="Q126" s="114">
        <f t="shared" si="17"/>
        <v>-5473.83</v>
      </c>
      <c r="R126" s="114">
        <f t="shared" si="18"/>
        <v>-8624.06</v>
      </c>
      <c r="S126" s="114">
        <f t="shared" si="20"/>
        <v>-88.71</v>
      </c>
      <c r="T126" s="114">
        <f t="shared" si="21"/>
        <v>-357</v>
      </c>
      <c r="U126" s="114">
        <f t="shared" si="22"/>
        <v>-27.32</v>
      </c>
      <c r="V126" s="114">
        <f t="shared" si="23"/>
        <v>-9097.0899999999983</v>
      </c>
      <c r="W126" s="114">
        <f t="shared" si="19"/>
        <v>400078.63939999999</v>
      </c>
    </row>
    <row r="127" spans="13:23" x14ac:dyDescent="0.25">
      <c r="M127" s="113"/>
      <c r="N127" s="109">
        <f t="shared" si="24"/>
        <v>114</v>
      </c>
      <c r="O127" s="110">
        <f t="shared" ca="1" si="25"/>
        <v>47797</v>
      </c>
      <c r="P127" s="114">
        <f t="shared" si="16"/>
        <v>-3150.23</v>
      </c>
      <c r="Q127" s="114">
        <f t="shared" si="17"/>
        <v>-5431.07</v>
      </c>
      <c r="R127" s="114">
        <f t="shared" si="18"/>
        <v>-8581.2999999999993</v>
      </c>
      <c r="S127" s="114">
        <f t="shared" si="20"/>
        <v>-88.02</v>
      </c>
      <c r="T127" s="114">
        <f t="shared" si="21"/>
        <v>-357</v>
      </c>
      <c r="U127" s="114">
        <f t="shared" si="22"/>
        <v>-27.32</v>
      </c>
      <c r="V127" s="114">
        <f t="shared" si="23"/>
        <v>-9053.64</v>
      </c>
      <c r="W127" s="114">
        <f t="shared" si="19"/>
        <v>396928.4069</v>
      </c>
    </row>
    <row r="128" spans="13:23" x14ac:dyDescent="0.25">
      <c r="M128" s="113"/>
      <c r="N128" s="109">
        <f t="shared" si="24"/>
        <v>115</v>
      </c>
      <c r="O128" s="110">
        <f t="shared" ca="1" si="25"/>
        <v>47827</v>
      </c>
      <c r="P128" s="114">
        <f t="shared" si="16"/>
        <v>-3150.23</v>
      </c>
      <c r="Q128" s="114">
        <f t="shared" si="17"/>
        <v>-5388.3</v>
      </c>
      <c r="R128" s="114">
        <f t="shared" si="18"/>
        <v>-8538.5300000000007</v>
      </c>
      <c r="S128" s="114">
        <f t="shared" si="20"/>
        <v>-87.32</v>
      </c>
      <c r="T128" s="114">
        <f t="shared" si="21"/>
        <v>-357</v>
      </c>
      <c r="U128" s="114">
        <f t="shared" si="22"/>
        <v>-27.32</v>
      </c>
      <c r="V128" s="114">
        <f t="shared" si="23"/>
        <v>-9010.17</v>
      </c>
      <c r="W128" s="114">
        <f t="shared" si="19"/>
        <v>393778.18000000005</v>
      </c>
    </row>
    <row r="129" spans="13:23" x14ac:dyDescent="0.25">
      <c r="M129" s="113"/>
      <c r="N129" s="109">
        <f t="shared" si="24"/>
        <v>116</v>
      </c>
      <c r="O129" s="110">
        <f t="shared" ca="1" si="25"/>
        <v>47858</v>
      </c>
      <c r="P129" s="114">
        <f t="shared" si="16"/>
        <v>-3150.23</v>
      </c>
      <c r="Q129" s="114">
        <f t="shared" si="17"/>
        <v>-5345.54</v>
      </c>
      <c r="R129" s="114">
        <f t="shared" si="18"/>
        <v>-8495.77</v>
      </c>
      <c r="S129" s="114">
        <f t="shared" si="20"/>
        <v>-86.63</v>
      </c>
      <c r="T129" s="114">
        <f t="shared" si="21"/>
        <v>-357</v>
      </c>
      <c r="U129" s="114">
        <f t="shared" si="22"/>
        <v>-27.32</v>
      </c>
      <c r="V129" s="114">
        <f t="shared" si="23"/>
        <v>-8966.7199999999993</v>
      </c>
      <c r="W129" s="114">
        <f t="shared" si="19"/>
        <v>390627.94880000001</v>
      </c>
    </row>
    <row r="130" spans="13:23" x14ac:dyDescent="0.25">
      <c r="M130" s="113"/>
      <c r="N130" s="109">
        <f t="shared" si="24"/>
        <v>117</v>
      </c>
      <c r="O130" s="110">
        <f t="shared" ca="1" si="25"/>
        <v>47889</v>
      </c>
      <c r="P130" s="114">
        <f t="shared" si="16"/>
        <v>-3150.23</v>
      </c>
      <c r="Q130" s="114">
        <f t="shared" si="17"/>
        <v>-5302.77</v>
      </c>
      <c r="R130" s="114">
        <f t="shared" si="18"/>
        <v>-8453</v>
      </c>
      <c r="S130" s="114">
        <f t="shared" si="20"/>
        <v>-85.94</v>
      </c>
      <c r="T130" s="114">
        <f t="shared" si="21"/>
        <v>-357</v>
      </c>
      <c r="U130" s="114">
        <f t="shared" si="22"/>
        <v>-27.32</v>
      </c>
      <c r="V130" s="114">
        <f t="shared" si="23"/>
        <v>-8923.26</v>
      </c>
      <c r="W130" s="114">
        <f t="shared" si="19"/>
        <v>387477.72320000001</v>
      </c>
    </row>
    <row r="131" spans="13:23" x14ac:dyDescent="0.25">
      <c r="M131" s="113"/>
      <c r="N131" s="109">
        <f t="shared" si="24"/>
        <v>118</v>
      </c>
      <c r="O131" s="110">
        <f t="shared" ca="1" si="25"/>
        <v>47917</v>
      </c>
      <c r="P131" s="114">
        <f t="shared" si="16"/>
        <v>-3150.23</v>
      </c>
      <c r="Q131" s="114">
        <f t="shared" si="17"/>
        <v>-5260.01</v>
      </c>
      <c r="R131" s="114">
        <f t="shared" si="18"/>
        <v>-8410.24</v>
      </c>
      <c r="S131" s="114">
        <f t="shared" si="20"/>
        <v>-85.25</v>
      </c>
      <c r="T131" s="114">
        <f t="shared" si="21"/>
        <v>-357</v>
      </c>
      <c r="U131" s="114">
        <f t="shared" si="22"/>
        <v>-27.32</v>
      </c>
      <c r="V131" s="114">
        <f t="shared" si="23"/>
        <v>-8879.81</v>
      </c>
      <c r="W131" s="114">
        <f t="shared" si="19"/>
        <v>384327.49330000003</v>
      </c>
    </row>
    <row r="132" spans="13:23" x14ac:dyDescent="0.25">
      <c r="M132" s="113"/>
      <c r="N132" s="109">
        <f t="shared" si="24"/>
        <v>119</v>
      </c>
      <c r="O132" s="110">
        <f t="shared" ca="1" si="25"/>
        <v>47948</v>
      </c>
      <c r="P132" s="114">
        <f t="shared" si="16"/>
        <v>-3150.23</v>
      </c>
      <c r="Q132" s="114">
        <f t="shared" si="17"/>
        <v>-5217.25</v>
      </c>
      <c r="R132" s="114">
        <f t="shared" si="18"/>
        <v>-8367.48</v>
      </c>
      <c r="S132" s="114">
        <f t="shared" si="20"/>
        <v>-84.55</v>
      </c>
      <c r="T132" s="114">
        <f t="shared" si="21"/>
        <v>-357</v>
      </c>
      <c r="U132" s="114">
        <f t="shared" si="22"/>
        <v>-27.32</v>
      </c>
      <c r="V132" s="114">
        <f t="shared" si="23"/>
        <v>-8836.3499999999985</v>
      </c>
      <c r="W132" s="114">
        <f t="shared" si="19"/>
        <v>381177.25900000002</v>
      </c>
    </row>
    <row r="133" spans="13:23" x14ac:dyDescent="0.25">
      <c r="M133" s="113"/>
      <c r="N133" s="109">
        <f t="shared" si="24"/>
        <v>120</v>
      </c>
      <c r="O133" s="110">
        <f t="shared" ca="1" si="25"/>
        <v>47978</v>
      </c>
      <c r="P133" s="114">
        <f t="shared" si="16"/>
        <v>-3150.23</v>
      </c>
      <c r="Q133" s="114">
        <f t="shared" si="17"/>
        <v>-5174.4799999999996</v>
      </c>
      <c r="R133" s="114">
        <f t="shared" si="18"/>
        <v>-8324.7099999999991</v>
      </c>
      <c r="S133" s="114">
        <f t="shared" si="20"/>
        <v>-83.86</v>
      </c>
      <c r="T133" s="114">
        <f t="shared" si="21"/>
        <v>-357</v>
      </c>
      <c r="U133" s="114">
        <f t="shared" si="22"/>
        <v>-27.32</v>
      </c>
      <c r="V133" s="114">
        <f t="shared" si="23"/>
        <v>-8792.89</v>
      </c>
      <c r="W133" s="114">
        <f t="shared" si="19"/>
        <v>378027.03030000004</v>
      </c>
    </row>
    <row r="134" spans="13:23" x14ac:dyDescent="0.25">
      <c r="M134" s="113"/>
      <c r="N134" s="109">
        <f t="shared" si="24"/>
        <v>121</v>
      </c>
      <c r="O134" s="110">
        <f t="shared" ca="1" si="25"/>
        <v>48009</v>
      </c>
      <c r="P134" s="114">
        <f t="shared" si="16"/>
        <v>-3150.23</v>
      </c>
      <c r="Q134" s="114">
        <f t="shared" si="17"/>
        <v>-5131.72</v>
      </c>
      <c r="R134" s="114">
        <f t="shared" si="18"/>
        <v>-8281.9500000000007</v>
      </c>
      <c r="S134" s="114">
        <f t="shared" si="20"/>
        <v>-83.17</v>
      </c>
      <c r="T134" s="114">
        <f t="shared" si="21"/>
        <v>-357</v>
      </c>
      <c r="U134" s="114">
        <f t="shared" si="22"/>
        <v>-27.32</v>
      </c>
      <c r="V134" s="114">
        <f t="shared" si="23"/>
        <v>-8749.44</v>
      </c>
      <c r="W134" s="114">
        <f t="shared" si="19"/>
        <v>374876.79720000003</v>
      </c>
    </row>
    <row r="135" spans="13:23" x14ac:dyDescent="0.25">
      <c r="M135" s="113"/>
      <c r="N135" s="109">
        <f t="shared" si="24"/>
        <v>122</v>
      </c>
      <c r="O135" s="110">
        <f t="shared" ca="1" si="25"/>
        <v>48039</v>
      </c>
      <c r="P135" s="114">
        <f t="shared" si="16"/>
        <v>-3150.23</v>
      </c>
      <c r="Q135" s="114">
        <f t="shared" si="17"/>
        <v>-5088.95</v>
      </c>
      <c r="R135" s="114">
        <f t="shared" si="18"/>
        <v>-8239.18</v>
      </c>
      <c r="S135" s="114">
        <f t="shared" si="20"/>
        <v>-82.47</v>
      </c>
      <c r="T135" s="114">
        <f t="shared" si="21"/>
        <v>-357</v>
      </c>
      <c r="U135" s="114">
        <f t="shared" si="22"/>
        <v>-27.32</v>
      </c>
      <c r="V135" s="114">
        <f t="shared" si="23"/>
        <v>-8705.9699999999993</v>
      </c>
      <c r="W135" s="114">
        <f t="shared" si="19"/>
        <v>371726.56969999999</v>
      </c>
    </row>
    <row r="136" spans="13:23" x14ac:dyDescent="0.25">
      <c r="M136" s="113"/>
      <c r="N136" s="109">
        <f t="shared" si="24"/>
        <v>123</v>
      </c>
      <c r="O136" s="110">
        <f t="shared" ca="1" si="25"/>
        <v>48070</v>
      </c>
      <c r="P136" s="114">
        <f t="shared" si="16"/>
        <v>-3150.23</v>
      </c>
      <c r="Q136" s="114">
        <f t="shared" si="17"/>
        <v>-5046.1899999999996</v>
      </c>
      <c r="R136" s="114">
        <f t="shared" si="18"/>
        <v>-8196.42</v>
      </c>
      <c r="S136" s="114">
        <f t="shared" si="20"/>
        <v>-81.78</v>
      </c>
      <c r="T136" s="114">
        <f t="shared" si="21"/>
        <v>-357</v>
      </c>
      <c r="U136" s="114">
        <f t="shared" si="22"/>
        <v>-27.32</v>
      </c>
      <c r="V136" s="114">
        <f t="shared" si="23"/>
        <v>-8662.52</v>
      </c>
      <c r="W136" s="114">
        <f t="shared" si="19"/>
        <v>368576.33790000004</v>
      </c>
    </row>
    <row r="137" spans="13:23" x14ac:dyDescent="0.25">
      <c r="M137" s="113"/>
      <c r="N137" s="109">
        <f t="shared" si="24"/>
        <v>124</v>
      </c>
      <c r="O137" s="110">
        <f t="shared" ca="1" si="25"/>
        <v>48101</v>
      </c>
      <c r="P137" s="114">
        <f t="shared" si="16"/>
        <v>-3150.23</v>
      </c>
      <c r="Q137" s="114">
        <f t="shared" si="17"/>
        <v>-5003.42</v>
      </c>
      <c r="R137" s="114">
        <f t="shared" si="18"/>
        <v>-8153.65</v>
      </c>
      <c r="S137" s="114">
        <f t="shared" si="20"/>
        <v>-81.09</v>
      </c>
      <c r="T137" s="114">
        <f t="shared" si="21"/>
        <v>-357</v>
      </c>
      <c r="U137" s="114">
        <f t="shared" si="22"/>
        <v>-27.32</v>
      </c>
      <c r="V137" s="114">
        <f t="shared" si="23"/>
        <v>-8619.06</v>
      </c>
      <c r="W137" s="114">
        <f t="shared" si="19"/>
        <v>365426.11170000001</v>
      </c>
    </row>
    <row r="138" spans="13:23" x14ac:dyDescent="0.25">
      <c r="M138" s="113"/>
      <c r="N138" s="109">
        <f t="shared" si="24"/>
        <v>125</v>
      </c>
      <c r="O138" s="110">
        <f t="shared" ca="1" si="25"/>
        <v>48131</v>
      </c>
      <c r="P138" s="114">
        <f t="shared" si="16"/>
        <v>-3150.23</v>
      </c>
      <c r="Q138" s="114">
        <f t="shared" si="17"/>
        <v>-4960.66</v>
      </c>
      <c r="R138" s="114">
        <f t="shared" si="18"/>
        <v>-8110.89</v>
      </c>
      <c r="S138" s="114">
        <f t="shared" si="20"/>
        <v>-80.39</v>
      </c>
      <c r="T138" s="114">
        <f t="shared" si="21"/>
        <v>-357</v>
      </c>
      <c r="U138" s="114">
        <f t="shared" si="22"/>
        <v>-27.32</v>
      </c>
      <c r="V138" s="114">
        <f t="shared" si="23"/>
        <v>-8575.6</v>
      </c>
      <c r="W138" s="114">
        <f t="shared" si="19"/>
        <v>362275.88120000006</v>
      </c>
    </row>
    <row r="139" spans="13:23" x14ac:dyDescent="0.25">
      <c r="M139" s="113"/>
      <c r="N139" s="109">
        <f t="shared" si="24"/>
        <v>126</v>
      </c>
      <c r="O139" s="110">
        <f t="shared" ca="1" si="25"/>
        <v>48162</v>
      </c>
      <c r="P139" s="114">
        <f t="shared" si="16"/>
        <v>-3150.23</v>
      </c>
      <c r="Q139" s="114">
        <f t="shared" si="17"/>
        <v>-4917.8999999999996</v>
      </c>
      <c r="R139" s="114">
        <f t="shared" si="18"/>
        <v>-8068.13</v>
      </c>
      <c r="S139" s="114">
        <f t="shared" si="20"/>
        <v>-79.7</v>
      </c>
      <c r="T139" s="114">
        <f t="shared" si="21"/>
        <v>-357</v>
      </c>
      <c r="U139" s="114">
        <f t="shared" si="22"/>
        <v>-27.32</v>
      </c>
      <c r="V139" s="114">
        <f t="shared" si="23"/>
        <v>-8532.15</v>
      </c>
      <c r="W139" s="114">
        <f t="shared" si="19"/>
        <v>359125.64630000002</v>
      </c>
    </row>
    <row r="140" spans="13:23" x14ac:dyDescent="0.25">
      <c r="M140" s="113"/>
      <c r="N140" s="109">
        <f t="shared" si="24"/>
        <v>127</v>
      </c>
      <c r="O140" s="110">
        <f t="shared" ca="1" si="25"/>
        <v>48192</v>
      </c>
      <c r="P140" s="114">
        <f t="shared" si="16"/>
        <v>-3150.23</v>
      </c>
      <c r="Q140" s="114">
        <f t="shared" si="17"/>
        <v>-4875.13</v>
      </c>
      <c r="R140" s="114">
        <f t="shared" si="18"/>
        <v>-8025.36</v>
      </c>
      <c r="S140" s="114">
        <f t="shared" si="20"/>
        <v>-79.010000000000005</v>
      </c>
      <c r="T140" s="114">
        <f t="shared" si="21"/>
        <v>-357</v>
      </c>
      <c r="U140" s="114">
        <f t="shared" si="22"/>
        <v>-27.32</v>
      </c>
      <c r="V140" s="114">
        <f t="shared" si="23"/>
        <v>-8488.6899999999987</v>
      </c>
      <c r="W140" s="114">
        <f t="shared" si="19"/>
        <v>355975.41690000001</v>
      </c>
    </row>
    <row r="141" spans="13:23" x14ac:dyDescent="0.25">
      <c r="M141" s="113"/>
      <c r="N141" s="109">
        <f t="shared" si="24"/>
        <v>128</v>
      </c>
      <c r="O141" s="110">
        <f t="shared" ca="1" si="25"/>
        <v>48223</v>
      </c>
      <c r="P141" s="114">
        <f t="shared" si="16"/>
        <v>-3150.23</v>
      </c>
      <c r="Q141" s="114">
        <f t="shared" si="17"/>
        <v>-4832.37</v>
      </c>
      <c r="R141" s="114">
        <f t="shared" si="18"/>
        <v>-7982.6</v>
      </c>
      <c r="S141" s="114">
        <f t="shared" si="20"/>
        <v>-78.31</v>
      </c>
      <c r="T141" s="114">
        <f t="shared" si="21"/>
        <v>-357</v>
      </c>
      <c r="U141" s="114">
        <f t="shared" si="22"/>
        <v>-27.32</v>
      </c>
      <c r="V141" s="114">
        <f t="shared" si="23"/>
        <v>-8445.23</v>
      </c>
      <c r="W141" s="114">
        <f t="shared" si="19"/>
        <v>352825.18320000003</v>
      </c>
    </row>
    <row r="142" spans="13:23" x14ac:dyDescent="0.25">
      <c r="M142" s="113"/>
      <c r="N142" s="109">
        <f t="shared" si="24"/>
        <v>129</v>
      </c>
      <c r="O142" s="110">
        <f t="shared" ca="1" si="25"/>
        <v>48254</v>
      </c>
      <c r="P142" s="114">
        <f t="shared" ref="P142:P205" si="26">IFERROR(IF(W141="","",IF(W141&lt;1,"",IF($F$32=1,IF(W141&lt;=0,0,IF($I$8="PRICE",IF(N142&lt;=$F$30,0,IF(N142="","",R142-Q142)),IF(N142&lt;=$F$30,0,IF(N142="","",ROUND((-$F$29/$T$8),2))))),IF(W141&lt;=0,0,IF($I$8="PRICE",IF(N142&lt;=$F$30,0,IF(N142="","",R142-Q142)),IF(N142&lt;=$F$30,0,IF(N142="","",ROUND((-$F$29/$F$28),2)))))))),"")</f>
        <v>-3150.23</v>
      </c>
      <c r="Q142" s="114">
        <f t="shared" ref="Q142:Q205" si="27">IFERROR(IF(W141="","",IF(W141&lt;=1,"",IF($I$20="Amortização e Encargos",IF(N142&lt;=$F$30,0,IF(N142="","",ROUND(($I$26*W141*-1),2))),IF(N142="","",ROUND(($I$26*W141*-1),2))))),"")</f>
        <v>-4789.6000000000004</v>
      </c>
      <c r="R142" s="114">
        <f t="shared" ref="R142:R205" si="28">IFERROR(IF(W141="","",IF(W141&lt;1,"",IF($F$32=1,IF(W141&lt;=0,0,IF($I$8="PRICE",IF($F$31=1,IF(N142&lt;=$F$30,ROUND((P142+Q142),2),IF(N142="","",ROUND((PMT($I$26,$T$8,$F$29,0,0)),2))),IF(N142="","",ROUND((P142+Q142),2))),IF(N142="","",ROUND((P142+Q142),2)))),IF(W141&lt;=0,ROUND((P142+Q142),2),IF($I$8="PRICE",IF($F$31=1,IF(N142&lt;=$F$30,ROUND((P142+Q142),2),IF(N142="","",ROUND((PMT($I$26,$F$28,$F$29,0,0)),2))),IF(N142="","",ROUND((P142+Q142),2))),IF(N142="","",ROUND((P142+Q142),2))))))),"")</f>
        <v>-7939.83</v>
      </c>
      <c r="S142" s="114">
        <f t="shared" si="20"/>
        <v>-77.62</v>
      </c>
      <c r="T142" s="114">
        <f t="shared" si="21"/>
        <v>-357</v>
      </c>
      <c r="U142" s="114">
        <f t="shared" si="22"/>
        <v>-27.32</v>
      </c>
      <c r="V142" s="114">
        <f t="shared" si="23"/>
        <v>-8401.77</v>
      </c>
      <c r="W142" s="114">
        <f t="shared" ref="W142:W205" si="29">IFERROR(IF(IF(W141="","",IF(W141&lt;1,"",IF(Q142=0,ROUND((W141*(1+$I$26)),4),ROUND((W141*(1+$I$26)),4)+P142+Q142)))&lt;3,0,(IF(W141="","",IF(W141&lt;1,"",IF(Q142=0,ROUND((W141*(1+$I$26)),4),ROUND((W141*(1+$I$26)),4)+P142+Q142))))),"")</f>
        <v>349674.95510000002</v>
      </c>
    </row>
    <row r="143" spans="13:23" x14ac:dyDescent="0.25">
      <c r="M143" s="113"/>
      <c r="N143" s="109">
        <f t="shared" si="24"/>
        <v>130</v>
      </c>
      <c r="O143" s="110">
        <f t="shared" ca="1" si="25"/>
        <v>48283</v>
      </c>
      <c r="P143" s="114">
        <f t="shared" si="26"/>
        <v>-3150.23</v>
      </c>
      <c r="Q143" s="114">
        <f t="shared" si="27"/>
        <v>-4746.84</v>
      </c>
      <c r="R143" s="114">
        <f t="shared" si="28"/>
        <v>-7897.07</v>
      </c>
      <c r="S143" s="114">
        <f t="shared" ref="S143:S206" si="30">IFERROR(IF(W142="","",IF(W142&lt;=1,"",IF(N143="","",ROUND(($F$23*W142*-1),2)))),"")</f>
        <v>-76.930000000000007</v>
      </c>
      <c r="T143" s="114">
        <f t="shared" ref="T143:T206" si="31">IFERROR(IF(W142="","",IF(W142&lt;=1,"",IF(N143="","",ROUND((-$I$6*$F$24),2)))),"")</f>
        <v>-357</v>
      </c>
      <c r="U143" s="114">
        <f t="shared" ref="U143:U206" si="32">IFERROR(IF(W142="","",IF(W142&lt;=1,"",IF(T143="","",ROUND((-$C$11),2)))),"")</f>
        <v>-27.32</v>
      </c>
      <c r="V143" s="114">
        <f t="shared" ref="V143:V206" si="33">IFERROR(IF(W142="","",IF(W142&lt;1,"",IF(N143="","",(R143+S143+T143+U143)))),"")</f>
        <v>-8358.32</v>
      </c>
      <c r="W143" s="114">
        <f t="shared" si="29"/>
        <v>346524.72259999998</v>
      </c>
    </row>
    <row r="144" spans="13:23" x14ac:dyDescent="0.25">
      <c r="M144" s="113"/>
      <c r="N144" s="109">
        <f t="shared" si="24"/>
        <v>131</v>
      </c>
      <c r="O144" s="110">
        <f t="shared" ca="1" si="25"/>
        <v>48314</v>
      </c>
      <c r="P144" s="114">
        <f t="shared" si="26"/>
        <v>-3150.23</v>
      </c>
      <c r="Q144" s="114">
        <f t="shared" si="27"/>
        <v>-4704.07</v>
      </c>
      <c r="R144" s="114">
        <f t="shared" si="28"/>
        <v>-7854.3</v>
      </c>
      <c r="S144" s="114">
        <f t="shared" si="30"/>
        <v>-76.239999999999995</v>
      </c>
      <c r="T144" s="114">
        <f t="shared" si="31"/>
        <v>-357</v>
      </c>
      <c r="U144" s="114">
        <f t="shared" si="32"/>
        <v>-27.32</v>
      </c>
      <c r="V144" s="114">
        <f t="shared" si="33"/>
        <v>-8314.86</v>
      </c>
      <c r="W144" s="114">
        <f t="shared" si="29"/>
        <v>343374.49570000003</v>
      </c>
    </row>
    <row r="145" spans="2:23" x14ac:dyDescent="0.25">
      <c r="M145" s="113"/>
      <c r="N145" s="109">
        <f t="shared" si="24"/>
        <v>132</v>
      </c>
      <c r="O145" s="110">
        <f t="shared" ca="1" si="25"/>
        <v>48344</v>
      </c>
      <c r="P145" s="114">
        <f t="shared" si="26"/>
        <v>-3150.23</v>
      </c>
      <c r="Q145" s="114">
        <f t="shared" si="27"/>
        <v>-4661.3100000000004</v>
      </c>
      <c r="R145" s="114">
        <f t="shared" si="28"/>
        <v>-7811.54</v>
      </c>
      <c r="S145" s="114">
        <f t="shared" si="30"/>
        <v>-75.540000000000006</v>
      </c>
      <c r="T145" s="114">
        <f t="shared" si="31"/>
        <v>-357</v>
      </c>
      <c r="U145" s="114">
        <f t="shared" si="32"/>
        <v>-27.32</v>
      </c>
      <c r="V145" s="114">
        <f t="shared" si="33"/>
        <v>-8271.4</v>
      </c>
      <c r="W145" s="114">
        <f t="shared" si="29"/>
        <v>340224.26450000005</v>
      </c>
    </row>
    <row r="146" spans="2:23" x14ac:dyDescent="0.25">
      <c r="M146" s="113"/>
      <c r="N146" s="109">
        <f t="shared" ref="N146:N209" si="34">IF(OR(W145&lt;0.1,W145=""),"",N145+1)</f>
        <v>133</v>
      </c>
      <c r="O146" s="110">
        <f t="shared" ref="O146:O209" ca="1" si="35">IF(W146="","",IF(N146="","",EDATE(O145,1)))</f>
        <v>48375</v>
      </c>
      <c r="P146" s="114">
        <f t="shared" si="26"/>
        <v>-3150.23</v>
      </c>
      <c r="Q146" s="114">
        <f t="shared" si="27"/>
        <v>-4618.54</v>
      </c>
      <c r="R146" s="114">
        <f t="shared" si="28"/>
        <v>-7768.77</v>
      </c>
      <c r="S146" s="114">
        <f t="shared" si="30"/>
        <v>-74.849999999999994</v>
      </c>
      <c r="T146" s="114">
        <f t="shared" si="31"/>
        <v>-357</v>
      </c>
      <c r="U146" s="114">
        <f t="shared" si="32"/>
        <v>-27.32</v>
      </c>
      <c r="V146" s="114">
        <f t="shared" si="33"/>
        <v>-8227.94</v>
      </c>
      <c r="W146" s="114">
        <f t="shared" si="29"/>
        <v>337074.03890000004</v>
      </c>
    </row>
    <row r="147" spans="2:23" x14ac:dyDescent="0.25">
      <c r="M147" s="113"/>
      <c r="N147" s="109">
        <f t="shared" si="34"/>
        <v>134</v>
      </c>
      <c r="O147" s="110">
        <f t="shared" ca="1" si="35"/>
        <v>48405</v>
      </c>
      <c r="P147" s="114">
        <f t="shared" si="26"/>
        <v>-3150.23</v>
      </c>
      <c r="Q147" s="114">
        <f t="shared" si="27"/>
        <v>-4575.78</v>
      </c>
      <c r="R147" s="114">
        <f t="shared" si="28"/>
        <v>-7726.01</v>
      </c>
      <c r="S147" s="114">
        <f t="shared" si="30"/>
        <v>-74.16</v>
      </c>
      <c r="T147" s="114">
        <f t="shared" si="31"/>
        <v>-357</v>
      </c>
      <c r="U147" s="114">
        <f t="shared" si="32"/>
        <v>-27.32</v>
      </c>
      <c r="V147" s="114">
        <f t="shared" si="33"/>
        <v>-8184.49</v>
      </c>
      <c r="W147" s="114">
        <f t="shared" si="29"/>
        <v>333923.80900000001</v>
      </c>
    </row>
    <row r="148" spans="2:23" x14ac:dyDescent="0.25">
      <c r="M148" s="113"/>
      <c r="N148" s="109">
        <f t="shared" si="34"/>
        <v>135</v>
      </c>
      <c r="O148" s="110">
        <f t="shared" ca="1" si="35"/>
        <v>48436</v>
      </c>
      <c r="P148" s="114">
        <f t="shared" si="26"/>
        <v>-3150.23</v>
      </c>
      <c r="Q148" s="114">
        <f t="shared" si="27"/>
        <v>-4533.0200000000004</v>
      </c>
      <c r="R148" s="114">
        <f t="shared" si="28"/>
        <v>-7683.25</v>
      </c>
      <c r="S148" s="114">
        <f t="shared" si="30"/>
        <v>-73.459999999999994</v>
      </c>
      <c r="T148" s="114">
        <f t="shared" si="31"/>
        <v>-357</v>
      </c>
      <c r="U148" s="114">
        <f t="shared" si="32"/>
        <v>-27.32</v>
      </c>
      <c r="V148" s="114">
        <f t="shared" si="33"/>
        <v>-8141.03</v>
      </c>
      <c r="W148" s="114">
        <f t="shared" si="29"/>
        <v>330773.5747</v>
      </c>
    </row>
    <row r="149" spans="2:23" x14ac:dyDescent="0.25">
      <c r="M149" s="113"/>
      <c r="N149" s="109">
        <f t="shared" si="34"/>
        <v>136</v>
      </c>
      <c r="O149" s="110">
        <f t="shared" ca="1" si="35"/>
        <v>48467</v>
      </c>
      <c r="P149" s="114">
        <f t="shared" si="26"/>
        <v>-3150.23</v>
      </c>
      <c r="Q149" s="114">
        <f t="shared" si="27"/>
        <v>-4490.25</v>
      </c>
      <c r="R149" s="114">
        <f t="shared" si="28"/>
        <v>-7640.48</v>
      </c>
      <c r="S149" s="114">
        <f t="shared" si="30"/>
        <v>-72.77</v>
      </c>
      <c r="T149" s="114">
        <f t="shared" si="31"/>
        <v>-357</v>
      </c>
      <c r="U149" s="114">
        <f t="shared" si="32"/>
        <v>-27.32</v>
      </c>
      <c r="V149" s="114">
        <f t="shared" si="33"/>
        <v>-8097.57</v>
      </c>
      <c r="W149" s="114">
        <f t="shared" si="29"/>
        <v>327623.34600000002</v>
      </c>
    </row>
    <row r="150" spans="2:23" x14ac:dyDescent="0.25">
      <c r="M150" s="113"/>
      <c r="N150" s="109">
        <f t="shared" si="34"/>
        <v>137</v>
      </c>
      <c r="O150" s="110">
        <f t="shared" ca="1" si="35"/>
        <v>48497</v>
      </c>
      <c r="P150" s="114">
        <f t="shared" si="26"/>
        <v>-3150.23</v>
      </c>
      <c r="Q150" s="114">
        <f t="shared" si="27"/>
        <v>-4447.49</v>
      </c>
      <c r="R150" s="114">
        <f t="shared" si="28"/>
        <v>-7597.72</v>
      </c>
      <c r="S150" s="114">
        <f t="shared" si="30"/>
        <v>-72.08</v>
      </c>
      <c r="T150" s="114">
        <f t="shared" si="31"/>
        <v>-357</v>
      </c>
      <c r="U150" s="114">
        <f t="shared" si="32"/>
        <v>-27.32</v>
      </c>
      <c r="V150" s="114">
        <f t="shared" si="33"/>
        <v>-8054.12</v>
      </c>
      <c r="W150" s="114">
        <f t="shared" si="29"/>
        <v>324473.11290000001</v>
      </c>
    </row>
    <row r="151" spans="2:23" x14ac:dyDescent="0.25">
      <c r="M151" s="113"/>
      <c r="N151" s="109">
        <f t="shared" si="34"/>
        <v>138</v>
      </c>
      <c r="O151" s="110">
        <f t="shared" ca="1" si="35"/>
        <v>48528</v>
      </c>
      <c r="P151" s="114">
        <f t="shared" si="26"/>
        <v>-3150.23</v>
      </c>
      <c r="Q151" s="114">
        <f t="shared" si="27"/>
        <v>-4404.72</v>
      </c>
      <c r="R151" s="114">
        <f t="shared" si="28"/>
        <v>-7554.95</v>
      </c>
      <c r="S151" s="114">
        <f t="shared" si="30"/>
        <v>-71.38</v>
      </c>
      <c r="T151" s="114">
        <f t="shared" si="31"/>
        <v>-357</v>
      </c>
      <c r="U151" s="114">
        <f t="shared" si="32"/>
        <v>-27.32</v>
      </c>
      <c r="V151" s="114">
        <f t="shared" si="33"/>
        <v>-8010.65</v>
      </c>
      <c r="W151" s="114">
        <f t="shared" si="29"/>
        <v>321322.88540000003</v>
      </c>
    </row>
    <row r="152" spans="2:23" s="18" customFormat="1" x14ac:dyDescent="0.25">
      <c r="B152" s="2"/>
      <c r="C152" s="3"/>
      <c r="D152" s="3"/>
      <c r="E152" s="4"/>
      <c r="F152" s="4"/>
      <c r="G152" s="5"/>
      <c r="H152" s="5"/>
      <c r="I152" s="5"/>
      <c r="J152" s="5"/>
      <c r="K152" s="76"/>
      <c r="L152" s="76"/>
      <c r="M152" s="113"/>
      <c r="N152" s="109">
        <f t="shared" si="34"/>
        <v>139</v>
      </c>
      <c r="O152" s="110">
        <f t="shared" ca="1" si="35"/>
        <v>48558</v>
      </c>
      <c r="P152" s="114">
        <f t="shared" si="26"/>
        <v>-3150.23</v>
      </c>
      <c r="Q152" s="114">
        <f t="shared" si="27"/>
        <v>-4361.96</v>
      </c>
      <c r="R152" s="114">
        <f t="shared" si="28"/>
        <v>-7512.19</v>
      </c>
      <c r="S152" s="114">
        <f t="shared" si="30"/>
        <v>-70.69</v>
      </c>
      <c r="T152" s="114">
        <f t="shared" si="31"/>
        <v>-357</v>
      </c>
      <c r="U152" s="114">
        <f t="shared" si="32"/>
        <v>-27.32</v>
      </c>
      <c r="V152" s="114">
        <f t="shared" si="33"/>
        <v>-7967.1999999999989</v>
      </c>
      <c r="W152" s="114">
        <f t="shared" si="29"/>
        <v>318172.65360000002</v>
      </c>
    </row>
    <row r="153" spans="2:23" s="18" customFormat="1" x14ac:dyDescent="0.25">
      <c r="B153" s="2"/>
      <c r="C153" s="3"/>
      <c r="D153" s="3"/>
      <c r="E153" s="4"/>
      <c r="F153" s="4"/>
      <c r="G153" s="5"/>
      <c r="H153" s="5"/>
      <c r="I153" s="5"/>
      <c r="J153" s="5"/>
      <c r="K153" s="76"/>
      <c r="L153" s="76"/>
      <c r="M153" s="113"/>
      <c r="N153" s="109">
        <f t="shared" si="34"/>
        <v>140</v>
      </c>
      <c r="O153" s="110">
        <f t="shared" ca="1" si="35"/>
        <v>48589</v>
      </c>
      <c r="P153" s="114">
        <f t="shared" si="26"/>
        <v>-3150.23</v>
      </c>
      <c r="Q153" s="114">
        <f t="shared" si="27"/>
        <v>-4319.1899999999996</v>
      </c>
      <c r="R153" s="114">
        <f t="shared" si="28"/>
        <v>-7469.42</v>
      </c>
      <c r="S153" s="114">
        <f t="shared" si="30"/>
        <v>-70</v>
      </c>
      <c r="T153" s="114">
        <f t="shared" si="31"/>
        <v>-357</v>
      </c>
      <c r="U153" s="114">
        <f t="shared" si="32"/>
        <v>-27.32</v>
      </c>
      <c r="V153" s="114">
        <f t="shared" si="33"/>
        <v>-7923.74</v>
      </c>
      <c r="W153" s="114">
        <f t="shared" si="29"/>
        <v>315022.42740000004</v>
      </c>
    </row>
    <row r="154" spans="2:23" s="18" customFormat="1" x14ac:dyDescent="0.25">
      <c r="B154" s="2"/>
      <c r="C154" s="3"/>
      <c r="D154" s="3"/>
      <c r="E154" s="4"/>
      <c r="F154" s="4"/>
      <c r="G154" s="5"/>
      <c r="H154" s="5"/>
      <c r="I154" s="5"/>
      <c r="J154" s="5"/>
      <c r="K154" s="76"/>
      <c r="L154" s="76"/>
      <c r="M154" s="113"/>
      <c r="N154" s="109">
        <f t="shared" si="34"/>
        <v>141</v>
      </c>
      <c r="O154" s="110">
        <f t="shared" ca="1" si="35"/>
        <v>48620</v>
      </c>
      <c r="P154" s="114">
        <f t="shared" si="26"/>
        <v>-3150.23</v>
      </c>
      <c r="Q154" s="114">
        <f t="shared" si="27"/>
        <v>-4276.43</v>
      </c>
      <c r="R154" s="114">
        <f t="shared" si="28"/>
        <v>-7426.66</v>
      </c>
      <c r="S154" s="114">
        <f t="shared" si="30"/>
        <v>-69.3</v>
      </c>
      <c r="T154" s="114">
        <f t="shared" si="31"/>
        <v>-357</v>
      </c>
      <c r="U154" s="114">
        <f t="shared" si="32"/>
        <v>-27.32</v>
      </c>
      <c r="V154" s="114">
        <f t="shared" si="33"/>
        <v>-7880.28</v>
      </c>
      <c r="W154" s="114">
        <f t="shared" si="29"/>
        <v>311872.19690000004</v>
      </c>
    </row>
    <row r="155" spans="2:23" s="18" customFormat="1" x14ac:dyDescent="0.25">
      <c r="B155" s="2"/>
      <c r="C155" s="3"/>
      <c r="D155" s="3"/>
      <c r="E155" s="4"/>
      <c r="F155" s="4"/>
      <c r="G155" s="5"/>
      <c r="H155" s="5"/>
      <c r="I155" s="5"/>
      <c r="J155" s="5"/>
      <c r="K155" s="76"/>
      <c r="L155" s="76"/>
      <c r="M155" s="113"/>
      <c r="N155" s="109">
        <f t="shared" si="34"/>
        <v>142</v>
      </c>
      <c r="O155" s="110">
        <f t="shared" ca="1" si="35"/>
        <v>48648</v>
      </c>
      <c r="P155" s="114">
        <f t="shared" si="26"/>
        <v>-3150.23</v>
      </c>
      <c r="Q155" s="114">
        <f t="shared" si="27"/>
        <v>-4233.67</v>
      </c>
      <c r="R155" s="114">
        <f t="shared" si="28"/>
        <v>-7383.9</v>
      </c>
      <c r="S155" s="114">
        <f t="shared" si="30"/>
        <v>-68.61</v>
      </c>
      <c r="T155" s="114">
        <f t="shared" si="31"/>
        <v>-357</v>
      </c>
      <c r="U155" s="114">
        <f t="shared" si="32"/>
        <v>-27.32</v>
      </c>
      <c r="V155" s="114">
        <f t="shared" si="33"/>
        <v>-7836.829999999999</v>
      </c>
      <c r="W155" s="114">
        <f t="shared" si="29"/>
        <v>308721.96200000006</v>
      </c>
    </row>
    <row r="156" spans="2:23" s="18" customFormat="1" x14ac:dyDescent="0.25">
      <c r="B156" s="2"/>
      <c r="C156" s="3"/>
      <c r="D156" s="3"/>
      <c r="E156" s="4"/>
      <c r="F156" s="4"/>
      <c r="G156" s="5"/>
      <c r="H156" s="5"/>
      <c r="I156" s="5"/>
      <c r="J156" s="5"/>
      <c r="K156" s="76"/>
      <c r="L156" s="76"/>
      <c r="M156" s="113"/>
      <c r="N156" s="109">
        <f t="shared" si="34"/>
        <v>143</v>
      </c>
      <c r="O156" s="110">
        <f t="shared" ca="1" si="35"/>
        <v>48679</v>
      </c>
      <c r="P156" s="114">
        <f t="shared" si="26"/>
        <v>-3150.23</v>
      </c>
      <c r="Q156" s="114">
        <f t="shared" si="27"/>
        <v>-4190.8999999999996</v>
      </c>
      <c r="R156" s="114">
        <f t="shared" si="28"/>
        <v>-7341.13</v>
      </c>
      <c r="S156" s="114">
        <f t="shared" si="30"/>
        <v>-67.92</v>
      </c>
      <c r="T156" s="114">
        <f t="shared" si="31"/>
        <v>-357</v>
      </c>
      <c r="U156" s="114">
        <f t="shared" si="32"/>
        <v>-27.32</v>
      </c>
      <c r="V156" s="114">
        <f t="shared" si="33"/>
        <v>-7793.37</v>
      </c>
      <c r="W156" s="114">
        <f t="shared" si="29"/>
        <v>305571.73259999999</v>
      </c>
    </row>
    <row r="157" spans="2:23" s="18" customFormat="1" x14ac:dyDescent="0.25">
      <c r="B157" s="2"/>
      <c r="C157" s="3"/>
      <c r="D157" s="3"/>
      <c r="E157" s="4"/>
      <c r="F157" s="4"/>
      <c r="G157" s="5"/>
      <c r="H157" s="5"/>
      <c r="I157" s="5"/>
      <c r="J157" s="5"/>
      <c r="K157" s="76"/>
      <c r="L157" s="76"/>
      <c r="M157" s="113"/>
      <c r="N157" s="109">
        <f t="shared" si="34"/>
        <v>144</v>
      </c>
      <c r="O157" s="110">
        <f t="shared" ca="1" si="35"/>
        <v>48709</v>
      </c>
      <c r="P157" s="114">
        <f t="shared" si="26"/>
        <v>-3150.23</v>
      </c>
      <c r="Q157" s="114">
        <f t="shared" si="27"/>
        <v>-4148.1400000000003</v>
      </c>
      <c r="R157" s="114">
        <f t="shared" si="28"/>
        <v>-7298.37</v>
      </c>
      <c r="S157" s="114">
        <f t="shared" si="30"/>
        <v>-67.23</v>
      </c>
      <c r="T157" s="114">
        <f t="shared" si="31"/>
        <v>-357</v>
      </c>
      <c r="U157" s="114">
        <f t="shared" si="32"/>
        <v>-27.32</v>
      </c>
      <c r="V157" s="114">
        <f t="shared" si="33"/>
        <v>-7749.9199999999992</v>
      </c>
      <c r="W157" s="114">
        <f t="shared" si="29"/>
        <v>302421.49890000001</v>
      </c>
    </row>
    <row r="158" spans="2:23" s="18" customFormat="1" x14ac:dyDescent="0.25">
      <c r="B158" s="2"/>
      <c r="C158" s="3"/>
      <c r="D158" s="3"/>
      <c r="E158" s="4"/>
      <c r="F158" s="4"/>
      <c r="G158" s="5"/>
      <c r="H158" s="5"/>
      <c r="I158" s="5"/>
      <c r="J158" s="5"/>
      <c r="K158" s="76"/>
      <c r="L158" s="76"/>
      <c r="M158" s="113"/>
      <c r="N158" s="109">
        <f t="shared" si="34"/>
        <v>145</v>
      </c>
      <c r="O158" s="110">
        <f t="shared" ca="1" si="35"/>
        <v>48740</v>
      </c>
      <c r="P158" s="114">
        <f t="shared" si="26"/>
        <v>-3150.23</v>
      </c>
      <c r="Q158" s="114">
        <f t="shared" si="27"/>
        <v>-4105.37</v>
      </c>
      <c r="R158" s="114">
        <f t="shared" si="28"/>
        <v>-7255.6</v>
      </c>
      <c r="S158" s="114">
        <f t="shared" si="30"/>
        <v>-66.53</v>
      </c>
      <c r="T158" s="114">
        <f t="shared" si="31"/>
        <v>-357</v>
      </c>
      <c r="U158" s="114">
        <f t="shared" si="32"/>
        <v>-27.32</v>
      </c>
      <c r="V158" s="114">
        <f t="shared" si="33"/>
        <v>-7706.45</v>
      </c>
      <c r="W158" s="114">
        <f t="shared" si="29"/>
        <v>299271.27070000005</v>
      </c>
    </row>
    <row r="159" spans="2:23" s="18" customFormat="1" x14ac:dyDescent="0.25">
      <c r="B159" s="2"/>
      <c r="C159" s="3"/>
      <c r="D159" s="3"/>
      <c r="E159" s="4"/>
      <c r="F159" s="4"/>
      <c r="G159" s="5"/>
      <c r="H159" s="5"/>
      <c r="I159" s="5"/>
      <c r="J159" s="5"/>
      <c r="K159" s="76"/>
      <c r="L159" s="76"/>
      <c r="M159" s="113"/>
      <c r="N159" s="109">
        <f t="shared" si="34"/>
        <v>146</v>
      </c>
      <c r="O159" s="110">
        <f t="shared" ca="1" si="35"/>
        <v>48770</v>
      </c>
      <c r="P159" s="114">
        <f t="shared" si="26"/>
        <v>-3150.23</v>
      </c>
      <c r="Q159" s="114">
        <f t="shared" si="27"/>
        <v>-4062.61</v>
      </c>
      <c r="R159" s="114">
        <f t="shared" si="28"/>
        <v>-7212.84</v>
      </c>
      <c r="S159" s="114">
        <f t="shared" si="30"/>
        <v>-65.84</v>
      </c>
      <c r="T159" s="114">
        <f t="shared" si="31"/>
        <v>-357</v>
      </c>
      <c r="U159" s="114">
        <f t="shared" si="32"/>
        <v>-27.32</v>
      </c>
      <c r="V159" s="114">
        <f t="shared" si="33"/>
        <v>-7663</v>
      </c>
      <c r="W159" s="114">
        <f t="shared" si="29"/>
        <v>296121.03820000001</v>
      </c>
    </row>
    <row r="160" spans="2:23" s="18" customFormat="1" x14ac:dyDescent="0.25">
      <c r="B160" s="2"/>
      <c r="C160" s="3"/>
      <c r="D160" s="3"/>
      <c r="E160" s="4"/>
      <c r="F160" s="4"/>
      <c r="G160" s="5"/>
      <c r="H160" s="5"/>
      <c r="I160" s="5"/>
      <c r="J160" s="5"/>
      <c r="K160" s="76"/>
      <c r="L160" s="76"/>
      <c r="M160" s="113"/>
      <c r="N160" s="109">
        <f t="shared" si="34"/>
        <v>147</v>
      </c>
      <c r="O160" s="110">
        <f t="shared" ca="1" si="35"/>
        <v>48801</v>
      </c>
      <c r="P160" s="114">
        <f t="shared" si="26"/>
        <v>-3150.23</v>
      </c>
      <c r="Q160" s="114">
        <f t="shared" si="27"/>
        <v>-4019.84</v>
      </c>
      <c r="R160" s="114">
        <f t="shared" si="28"/>
        <v>-7170.07</v>
      </c>
      <c r="S160" s="114">
        <f t="shared" si="30"/>
        <v>-65.150000000000006</v>
      </c>
      <c r="T160" s="114">
        <f t="shared" si="31"/>
        <v>-357</v>
      </c>
      <c r="U160" s="114">
        <f t="shared" si="32"/>
        <v>-27.32</v>
      </c>
      <c r="V160" s="114">
        <f t="shared" si="33"/>
        <v>-7619.5399999999991</v>
      </c>
      <c r="W160" s="114">
        <f t="shared" si="29"/>
        <v>292970.8113</v>
      </c>
    </row>
    <row r="161" spans="2:23" s="18" customFormat="1" x14ac:dyDescent="0.25">
      <c r="B161" s="2"/>
      <c r="C161" s="3"/>
      <c r="D161" s="3"/>
      <c r="E161" s="4"/>
      <c r="F161" s="4"/>
      <c r="G161" s="5"/>
      <c r="H161" s="5"/>
      <c r="I161" s="5"/>
      <c r="J161" s="5"/>
      <c r="K161" s="76"/>
      <c r="L161" s="76"/>
      <c r="M161" s="113"/>
      <c r="N161" s="109">
        <f t="shared" si="34"/>
        <v>148</v>
      </c>
      <c r="O161" s="110">
        <f t="shared" ca="1" si="35"/>
        <v>48832</v>
      </c>
      <c r="P161" s="114">
        <f t="shared" si="26"/>
        <v>-3150.23</v>
      </c>
      <c r="Q161" s="114">
        <f t="shared" si="27"/>
        <v>-3977.08</v>
      </c>
      <c r="R161" s="114">
        <f t="shared" si="28"/>
        <v>-7127.31</v>
      </c>
      <c r="S161" s="114">
        <f t="shared" si="30"/>
        <v>-64.45</v>
      </c>
      <c r="T161" s="114">
        <f t="shared" si="31"/>
        <v>-357</v>
      </c>
      <c r="U161" s="114">
        <f t="shared" si="32"/>
        <v>-27.32</v>
      </c>
      <c r="V161" s="114">
        <f t="shared" si="33"/>
        <v>-7576.08</v>
      </c>
      <c r="W161" s="114">
        <f t="shared" si="29"/>
        <v>289820.58010000002</v>
      </c>
    </row>
    <row r="162" spans="2:23" s="18" customFormat="1" x14ac:dyDescent="0.25">
      <c r="B162" s="2"/>
      <c r="C162" s="3"/>
      <c r="D162" s="3"/>
      <c r="E162" s="4"/>
      <c r="F162" s="4"/>
      <c r="G162" s="5"/>
      <c r="H162" s="5"/>
      <c r="I162" s="5"/>
      <c r="J162" s="5"/>
      <c r="K162" s="76"/>
      <c r="L162" s="76"/>
      <c r="M162" s="113"/>
      <c r="N162" s="109">
        <f t="shared" si="34"/>
        <v>149</v>
      </c>
      <c r="O162" s="110">
        <f t="shared" ca="1" si="35"/>
        <v>48862</v>
      </c>
      <c r="P162" s="114">
        <f t="shared" si="26"/>
        <v>-3150.23</v>
      </c>
      <c r="Q162" s="114">
        <f t="shared" si="27"/>
        <v>-3934.31</v>
      </c>
      <c r="R162" s="114">
        <f t="shared" si="28"/>
        <v>-7084.54</v>
      </c>
      <c r="S162" s="114">
        <f t="shared" si="30"/>
        <v>-63.76</v>
      </c>
      <c r="T162" s="114">
        <f t="shared" si="31"/>
        <v>-357</v>
      </c>
      <c r="U162" s="114">
        <f t="shared" si="32"/>
        <v>-27.32</v>
      </c>
      <c r="V162" s="114">
        <f t="shared" si="33"/>
        <v>-7532.62</v>
      </c>
      <c r="W162" s="114">
        <f t="shared" si="29"/>
        <v>286670.35450000002</v>
      </c>
    </row>
    <row r="163" spans="2:23" s="18" customFormat="1" x14ac:dyDescent="0.25">
      <c r="B163" s="2"/>
      <c r="C163" s="3"/>
      <c r="D163" s="3"/>
      <c r="E163" s="4"/>
      <c r="F163" s="4"/>
      <c r="G163" s="5"/>
      <c r="H163" s="5"/>
      <c r="I163" s="5"/>
      <c r="J163" s="5"/>
      <c r="K163" s="76"/>
      <c r="L163" s="76"/>
      <c r="M163" s="113"/>
      <c r="N163" s="109">
        <f t="shared" si="34"/>
        <v>150</v>
      </c>
      <c r="O163" s="110">
        <f t="shared" ca="1" si="35"/>
        <v>48893</v>
      </c>
      <c r="P163" s="114">
        <f t="shared" si="26"/>
        <v>-3150.23</v>
      </c>
      <c r="Q163" s="114">
        <f t="shared" si="27"/>
        <v>-3891.55</v>
      </c>
      <c r="R163" s="114">
        <f t="shared" si="28"/>
        <v>-7041.78</v>
      </c>
      <c r="S163" s="114">
        <f t="shared" si="30"/>
        <v>-63.07</v>
      </c>
      <c r="T163" s="114">
        <f t="shared" si="31"/>
        <v>-357</v>
      </c>
      <c r="U163" s="114">
        <f t="shared" si="32"/>
        <v>-27.32</v>
      </c>
      <c r="V163" s="114">
        <f t="shared" si="33"/>
        <v>-7489.1699999999992</v>
      </c>
      <c r="W163" s="114">
        <f t="shared" si="29"/>
        <v>283520.12460000004</v>
      </c>
    </row>
    <row r="164" spans="2:23" s="18" customFormat="1" x14ac:dyDescent="0.25">
      <c r="B164" s="2"/>
      <c r="C164" s="3"/>
      <c r="D164" s="3"/>
      <c r="E164" s="4"/>
      <c r="F164" s="4"/>
      <c r="G164" s="5"/>
      <c r="H164" s="5"/>
      <c r="I164" s="5"/>
      <c r="J164" s="5"/>
      <c r="K164" s="76"/>
      <c r="L164" s="76"/>
      <c r="M164" s="113"/>
      <c r="N164" s="109">
        <f t="shared" si="34"/>
        <v>151</v>
      </c>
      <c r="O164" s="110">
        <f t="shared" ca="1" si="35"/>
        <v>48923</v>
      </c>
      <c r="P164" s="114">
        <f t="shared" si="26"/>
        <v>-3150.23</v>
      </c>
      <c r="Q164" s="114">
        <f t="shared" si="27"/>
        <v>-3848.79</v>
      </c>
      <c r="R164" s="114">
        <f t="shared" si="28"/>
        <v>-6999.02</v>
      </c>
      <c r="S164" s="114">
        <f t="shared" si="30"/>
        <v>-62.37</v>
      </c>
      <c r="T164" s="114">
        <f t="shared" si="31"/>
        <v>-357</v>
      </c>
      <c r="U164" s="114">
        <f t="shared" si="32"/>
        <v>-27.32</v>
      </c>
      <c r="V164" s="114">
        <f t="shared" si="33"/>
        <v>-7445.71</v>
      </c>
      <c r="W164" s="114">
        <f t="shared" si="29"/>
        <v>280369.89030000003</v>
      </c>
    </row>
    <row r="165" spans="2:23" s="18" customFormat="1" x14ac:dyDescent="0.25">
      <c r="B165" s="2"/>
      <c r="C165" s="3"/>
      <c r="D165" s="3"/>
      <c r="E165" s="4"/>
      <c r="F165" s="4"/>
      <c r="G165" s="5"/>
      <c r="H165" s="5"/>
      <c r="I165" s="5"/>
      <c r="J165" s="5"/>
      <c r="K165" s="76"/>
      <c r="L165" s="76"/>
      <c r="M165" s="113"/>
      <c r="N165" s="109">
        <f t="shared" si="34"/>
        <v>152</v>
      </c>
      <c r="O165" s="110">
        <f t="shared" ca="1" si="35"/>
        <v>48954</v>
      </c>
      <c r="P165" s="114">
        <f t="shared" si="26"/>
        <v>-3150.23</v>
      </c>
      <c r="Q165" s="114">
        <f t="shared" si="27"/>
        <v>-3806.02</v>
      </c>
      <c r="R165" s="114">
        <f t="shared" si="28"/>
        <v>-6956.25</v>
      </c>
      <c r="S165" s="114">
        <f t="shared" si="30"/>
        <v>-61.68</v>
      </c>
      <c r="T165" s="114">
        <f t="shared" si="31"/>
        <v>-357</v>
      </c>
      <c r="U165" s="114">
        <f t="shared" si="32"/>
        <v>-27.32</v>
      </c>
      <c r="V165" s="114">
        <f t="shared" si="33"/>
        <v>-7402.25</v>
      </c>
      <c r="W165" s="114">
        <f t="shared" si="29"/>
        <v>277219.66159999999</v>
      </c>
    </row>
    <row r="166" spans="2:23" s="18" customFormat="1" x14ac:dyDescent="0.25">
      <c r="B166" s="2"/>
      <c r="C166" s="3"/>
      <c r="D166" s="3"/>
      <c r="E166" s="4"/>
      <c r="F166" s="4"/>
      <c r="G166" s="5"/>
      <c r="H166" s="5"/>
      <c r="I166" s="5"/>
      <c r="J166" s="5"/>
      <c r="K166" s="76"/>
      <c r="L166" s="76"/>
      <c r="M166" s="113"/>
      <c r="N166" s="109">
        <f t="shared" si="34"/>
        <v>153</v>
      </c>
      <c r="O166" s="110">
        <f t="shared" ca="1" si="35"/>
        <v>48985</v>
      </c>
      <c r="P166" s="114">
        <f t="shared" si="26"/>
        <v>-3150.23</v>
      </c>
      <c r="Q166" s="114">
        <f t="shared" si="27"/>
        <v>-3763.26</v>
      </c>
      <c r="R166" s="114">
        <f t="shared" si="28"/>
        <v>-6913.49</v>
      </c>
      <c r="S166" s="114">
        <f t="shared" si="30"/>
        <v>-60.99</v>
      </c>
      <c r="T166" s="114">
        <f t="shared" si="31"/>
        <v>-357</v>
      </c>
      <c r="U166" s="114">
        <f t="shared" si="32"/>
        <v>-27.32</v>
      </c>
      <c r="V166" s="114">
        <f t="shared" si="33"/>
        <v>-7358.7999999999993</v>
      </c>
      <c r="W166" s="114">
        <f t="shared" si="29"/>
        <v>274069.42850000004</v>
      </c>
    </row>
    <row r="167" spans="2:23" s="18" customFormat="1" x14ac:dyDescent="0.25">
      <c r="B167" s="2"/>
      <c r="C167" s="3"/>
      <c r="D167" s="3"/>
      <c r="E167" s="4"/>
      <c r="F167" s="4"/>
      <c r="G167" s="5"/>
      <c r="H167" s="5"/>
      <c r="I167" s="5"/>
      <c r="J167" s="5"/>
      <c r="K167" s="76"/>
      <c r="L167" s="76"/>
      <c r="M167" s="113"/>
      <c r="N167" s="109">
        <f t="shared" si="34"/>
        <v>154</v>
      </c>
      <c r="O167" s="110">
        <f t="shared" ca="1" si="35"/>
        <v>49013</v>
      </c>
      <c r="P167" s="114">
        <f t="shared" si="26"/>
        <v>-3150.23</v>
      </c>
      <c r="Q167" s="114">
        <f t="shared" si="27"/>
        <v>-3720.49</v>
      </c>
      <c r="R167" s="114">
        <f t="shared" si="28"/>
        <v>-6870.72</v>
      </c>
      <c r="S167" s="114">
        <f t="shared" si="30"/>
        <v>-60.3</v>
      </c>
      <c r="T167" s="114">
        <f t="shared" si="31"/>
        <v>-357</v>
      </c>
      <c r="U167" s="114">
        <f t="shared" si="32"/>
        <v>-27.32</v>
      </c>
      <c r="V167" s="114">
        <f t="shared" si="33"/>
        <v>-7315.34</v>
      </c>
      <c r="W167" s="114">
        <f t="shared" si="29"/>
        <v>270919.201</v>
      </c>
    </row>
    <row r="168" spans="2:23" s="18" customFormat="1" x14ac:dyDescent="0.25">
      <c r="B168" s="2"/>
      <c r="C168" s="3"/>
      <c r="D168" s="3"/>
      <c r="E168" s="4"/>
      <c r="F168" s="4"/>
      <c r="G168" s="5"/>
      <c r="H168" s="5"/>
      <c r="I168" s="5"/>
      <c r="J168" s="5"/>
      <c r="K168" s="76"/>
      <c r="L168" s="76"/>
      <c r="M168" s="113"/>
      <c r="N168" s="109">
        <f t="shared" si="34"/>
        <v>155</v>
      </c>
      <c r="O168" s="110">
        <f t="shared" ca="1" si="35"/>
        <v>49044</v>
      </c>
      <c r="P168" s="114">
        <f t="shared" si="26"/>
        <v>-3150.23</v>
      </c>
      <c r="Q168" s="114">
        <f t="shared" si="27"/>
        <v>-3677.73</v>
      </c>
      <c r="R168" s="114">
        <f t="shared" si="28"/>
        <v>-6827.96</v>
      </c>
      <c r="S168" s="114">
        <f t="shared" si="30"/>
        <v>-59.6</v>
      </c>
      <c r="T168" s="114">
        <f t="shared" si="31"/>
        <v>-357</v>
      </c>
      <c r="U168" s="114">
        <f t="shared" si="32"/>
        <v>-27.32</v>
      </c>
      <c r="V168" s="114">
        <f t="shared" si="33"/>
        <v>-7271.88</v>
      </c>
      <c r="W168" s="114">
        <f t="shared" si="29"/>
        <v>267768.96920000005</v>
      </c>
    </row>
    <row r="169" spans="2:23" s="18" customFormat="1" x14ac:dyDescent="0.25">
      <c r="B169" s="2"/>
      <c r="C169" s="3"/>
      <c r="D169" s="3"/>
      <c r="E169" s="4"/>
      <c r="F169" s="4"/>
      <c r="G169" s="5"/>
      <c r="H169" s="5"/>
      <c r="I169" s="5"/>
      <c r="J169" s="5"/>
      <c r="K169" s="76"/>
      <c r="L169" s="76"/>
      <c r="M169" s="113"/>
      <c r="N169" s="109">
        <f t="shared" si="34"/>
        <v>156</v>
      </c>
      <c r="O169" s="110">
        <f t="shared" ca="1" si="35"/>
        <v>49074</v>
      </c>
      <c r="P169" s="114">
        <f t="shared" si="26"/>
        <v>-3150.23</v>
      </c>
      <c r="Q169" s="114">
        <f t="shared" si="27"/>
        <v>-3634.96</v>
      </c>
      <c r="R169" s="114">
        <f t="shared" si="28"/>
        <v>-6785.19</v>
      </c>
      <c r="S169" s="114">
        <f t="shared" si="30"/>
        <v>-58.91</v>
      </c>
      <c r="T169" s="114">
        <f t="shared" si="31"/>
        <v>-357</v>
      </c>
      <c r="U169" s="114">
        <f t="shared" si="32"/>
        <v>-27.32</v>
      </c>
      <c r="V169" s="114">
        <f t="shared" si="33"/>
        <v>-7228.4199999999992</v>
      </c>
      <c r="W169" s="114">
        <f t="shared" si="29"/>
        <v>264618.74300000002</v>
      </c>
    </row>
    <row r="170" spans="2:23" s="18" customFormat="1" x14ac:dyDescent="0.25">
      <c r="B170" s="2"/>
      <c r="C170" s="3"/>
      <c r="D170" s="3"/>
      <c r="E170" s="4"/>
      <c r="F170" s="4"/>
      <c r="G170" s="5"/>
      <c r="H170" s="5"/>
      <c r="I170" s="5"/>
      <c r="J170" s="5"/>
      <c r="K170" s="76"/>
      <c r="L170" s="76"/>
      <c r="M170" s="113"/>
      <c r="N170" s="109">
        <f t="shared" si="34"/>
        <v>157</v>
      </c>
      <c r="O170" s="110">
        <f t="shared" ca="1" si="35"/>
        <v>49105</v>
      </c>
      <c r="P170" s="114">
        <f t="shared" si="26"/>
        <v>-3150.23</v>
      </c>
      <c r="Q170" s="114">
        <f t="shared" si="27"/>
        <v>-3592.2</v>
      </c>
      <c r="R170" s="114">
        <f t="shared" si="28"/>
        <v>-6742.43</v>
      </c>
      <c r="S170" s="114">
        <f t="shared" si="30"/>
        <v>-58.22</v>
      </c>
      <c r="T170" s="114">
        <f t="shared" si="31"/>
        <v>-357</v>
      </c>
      <c r="U170" s="114">
        <f t="shared" si="32"/>
        <v>-27.32</v>
      </c>
      <c r="V170" s="114">
        <f t="shared" si="33"/>
        <v>-7184.97</v>
      </c>
      <c r="W170" s="114">
        <f t="shared" si="29"/>
        <v>261468.51240000001</v>
      </c>
    </row>
    <row r="171" spans="2:23" s="18" customFormat="1" x14ac:dyDescent="0.25">
      <c r="B171" s="2"/>
      <c r="C171" s="3"/>
      <c r="D171" s="3"/>
      <c r="E171" s="4"/>
      <c r="F171" s="4"/>
      <c r="G171" s="5"/>
      <c r="H171" s="5"/>
      <c r="I171" s="5"/>
      <c r="J171" s="5"/>
      <c r="K171" s="76"/>
      <c r="L171" s="76"/>
      <c r="M171" s="113"/>
      <c r="N171" s="109">
        <f t="shared" si="34"/>
        <v>158</v>
      </c>
      <c r="O171" s="110">
        <f t="shared" ca="1" si="35"/>
        <v>49135</v>
      </c>
      <c r="P171" s="114">
        <f t="shared" si="26"/>
        <v>-3150.23</v>
      </c>
      <c r="Q171" s="114">
        <f t="shared" si="27"/>
        <v>-3549.44</v>
      </c>
      <c r="R171" s="114">
        <f t="shared" si="28"/>
        <v>-6699.67</v>
      </c>
      <c r="S171" s="114">
        <f t="shared" si="30"/>
        <v>-57.52</v>
      </c>
      <c r="T171" s="114">
        <f t="shared" si="31"/>
        <v>-357</v>
      </c>
      <c r="U171" s="114">
        <f t="shared" si="32"/>
        <v>-27.32</v>
      </c>
      <c r="V171" s="114">
        <f t="shared" si="33"/>
        <v>-7141.51</v>
      </c>
      <c r="W171" s="114">
        <f t="shared" si="29"/>
        <v>258318.2775</v>
      </c>
    </row>
    <row r="172" spans="2:23" s="18" customFormat="1" x14ac:dyDescent="0.25">
      <c r="B172" s="2"/>
      <c r="C172" s="3"/>
      <c r="D172" s="3"/>
      <c r="E172" s="4"/>
      <c r="F172" s="4"/>
      <c r="G172" s="5"/>
      <c r="H172" s="5"/>
      <c r="I172" s="5"/>
      <c r="J172" s="5"/>
      <c r="K172" s="76"/>
      <c r="L172" s="76"/>
      <c r="M172" s="113"/>
      <c r="N172" s="109">
        <f t="shared" si="34"/>
        <v>159</v>
      </c>
      <c r="O172" s="110">
        <f t="shared" ca="1" si="35"/>
        <v>49166</v>
      </c>
      <c r="P172" s="114">
        <f t="shared" si="26"/>
        <v>-3150.23</v>
      </c>
      <c r="Q172" s="114">
        <f t="shared" si="27"/>
        <v>-3506.67</v>
      </c>
      <c r="R172" s="114">
        <f t="shared" si="28"/>
        <v>-6656.9</v>
      </c>
      <c r="S172" s="114">
        <f t="shared" si="30"/>
        <v>-56.83</v>
      </c>
      <c r="T172" s="114">
        <f t="shared" si="31"/>
        <v>-357</v>
      </c>
      <c r="U172" s="114">
        <f t="shared" si="32"/>
        <v>-27.32</v>
      </c>
      <c r="V172" s="114">
        <f t="shared" si="33"/>
        <v>-7098.0499999999993</v>
      </c>
      <c r="W172" s="114">
        <f t="shared" si="29"/>
        <v>255168.04809999999</v>
      </c>
    </row>
    <row r="173" spans="2:23" s="18" customFormat="1" x14ac:dyDescent="0.25">
      <c r="B173" s="2"/>
      <c r="C173" s="3"/>
      <c r="D173" s="3"/>
      <c r="E173" s="4"/>
      <c r="F173" s="4"/>
      <c r="G173" s="5"/>
      <c r="H173" s="5"/>
      <c r="I173" s="5"/>
      <c r="J173" s="5"/>
      <c r="K173" s="76"/>
      <c r="L173" s="76"/>
      <c r="M173" s="113"/>
      <c r="N173" s="109">
        <f t="shared" si="34"/>
        <v>160</v>
      </c>
      <c r="O173" s="110">
        <f t="shared" ca="1" si="35"/>
        <v>49197</v>
      </c>
      <c r="P173" s="114">
        <f t="shared" si="26"/>
        <v>-3150.23</v>
      </c>
      <c r="Q173" s="114">
        <f t="shared" si="27"/>
        <v>-3463.91</v>
      </c>
      <c r="R173" s="114">
        <f t="shared" si="28"/>
        <v>-6614.14</v>
      </c>
      <c r="S173" s="114">
        <f t="shared" si="30"/>
        <v>-56.14</v>
      </c>
      <c r="T173" s="114">
        <f t="shared" si="31"/>
        <v>-357</v>
      </c>
      <c r="U173" s="114">
        <f t="shared" si="32"/>
        <v>-27.32</v>
      </c>
      <c r="V173" s="114">
        <f t="shared" si="33"/>
        <v>-7054.6</v>
      </c>
      <c r="W173" s="114">
        <f t="shared" si="29"/>
        <v>252017.81439999997</v>
      </c>
    </row>
    <row r="174" spans="2:23" s="18" customFormat="1" x14ac:dyDescent="0.25">
      <c r="B174" s="2"/>
      <c r="C174" s="3"/>
      <c r="D174" s="3"/>
      <c r="E174" s="4"/>
      <c r="F174" s="4"/>
      <c r="G174" s="5"/>
      <c r="H174" s="5"/>
      <c r="I174" s="5"/>
      <c r="J174" s="5"/>
      <c r="K174" s="76"/>
      <c r="L174" s="76"/>
      <c r="M174" s="113"/>
      <c r="N174" s="109">
        <f t="shared" si="34"/>
        <v>161</v>
      </c>
      <c r="O174" s="110">
        <f t="shared" ca="1" si="35"/>
        <v>49227</v>
      </c>
      <c r="P174" s="114">
        <f t="shared" si="26"/>
        <v>-3150.23</v>
      </c>
      <c r="Q174" s="114">
        <f t="shared" si="27"/>
        <v>-3421.14</v>
      </c>
      <c r="R174" s="114">
        <f t="shared" si="28"/>
        <v>-6571.37</v>
      </c>
      <c r="S174" s="114">
        <f t="shared" si="30"/>
        <v>-55.44</v>
      </c>
      <c r="T174" s="114">
        <f t="shared" si="31"/>
        <v>-357</v>
      </c>
      <c r="U174" s="114">
        <f t="shared" si="32"/>
        <v>-27.32</v>
      </c>
      <c r="V174" s="114">
        <f t="shared" si="33"/>
        <v>-7011.1299999999992</v>
      </c>
      <c r="W174" s="114">
        <f t="shared" si="29"/>
        <v>248867.58619999996</v>
      </c>
    </row>
    <row r="175" spans="2:23" s="18" customFormat="1" x14ac:dyDescent="0.25">
      <c r="B175" s="2"/>
      <c r="C175" s="3"/>
      <c r="D175" s="3"/>
      <c r="E175" s="4"/>
      <c r="F175" s="4"/>
      <c r="G175" s="5"/>
      <c r="H175" s="5"/>
      <c r="I175" s="5"/>
      <c r="J175" s="5"/>
      <c r="K175" s="76"/>
      <c r="L175" s="76"/>
      <c r="M175" s="113"/>
      <c r="N175" s="109">
        <f t="shared" si="34"/>
        <v>162</v>
      </c>
      <c r="O175" s="110">
        <f t="shared" ca="1" si="35"/>
        <v>49258</v>
      </c>
      <c r="P175" s="114">
        <f t="shared" si="26"/>
        <v>-3150.23</v>
      </c>
      <c r="Q175" s="114">
        <f t="shared" si="27"/>
        <v>-3378.38</v>
      </c>
      <c r="R175" s="114">
        <f t="shared" si="28"/>
        <v>-6528.61</v>
      </c>
      <c r="S175" s="114">
        <f t="shared" si="30"/>
        <v>-54.75</v>
      </c>
      <c r="T175" s="114">
        <f t="shared" si="31"/>
        <v>-357</v>
      </c>
      <c r="U175" s="114">
        <f t="shared" si="32"/>
        <v>-27.32</v>
      </c>
      <c r="V175" s="114">
        <f t="shared" si="33"/>
        <v>-6967.6799999999994</v>
      </c>
      <c r="W175" s="114">
        <f t="shared" si="29"/>
        <v>245717.35369999998</v>
      </c>
    </row>
    <row r="176" spans="2:23" s="18" customFormat="1" x14ac:dyDescent="0.25">
      <c r="B176" s="2"/>
      <c r="C176" s="3"/>
      <c r="D176" s="3"/>
      <c r="E176" s="4"/>
      <c r="F176" s="4"/>
      <c r="G176" s="5"/>
      <c r="H176" s="5"/>
      <c r="I176" s="5"/>
      <c r="J176" s="5"/>
      <c r="K176" s="76"/>
      <c r="L176" s="76"/>
      <c r="M176" s="113"/>
      <c r="N176" s="109">
        <f t="shared" si="34"/>
        <v>163</v>
      </c>
      <c r="O176" s="110">
        <f t="shared" ca="1" si="35"/>
        <v>49288</v>
      </c>
      <c r="P176" s="114">
        <f t="shared" si="26"/>
        <v>-3150.23</v>
      </c>
      <c r="Q176" s="114">
        <f t="shared" si="27"/>
        <v>-3335.61</v>
      </c>
      <c r="R176" s="114">
        <f t="shared" si="28"/>
        <v>-6485.84</v>
      </c>
      <c r="S176" s="114">
        <f t="shared" si="30"/>
        <v>-54.06</v>
      </c>
      <c r="T176" s="114">
        <f t="shared" si="31"/>
        <v>-357</v>
      </c>
      <c r="U176" s="114">
        <f t="shared" si="32"/>
        <v>-27.32</v>
      </c>
      <c r="V176" s="114">
        <f t="shared" si="33"/>
        <v>-6924.22</v>
      </c>
      <c r="W176" s="114">
        <f t="shared" si="29"/>
        <v>242567.1268</v>
      </c>
    </row>
    <row r="177" spans="2:23" s="18" customFormat="1" x14ac:dyDescent="0.25">
      <c r="B177" s="2"/>
      <c r="C177" s="3"/>
      <c r="D177" s="3"/>
      <c r="E177" s="4"/>
      <c r="F177" s="4"/>
      <c r="G177" s="5"/>
      <c r="H177" s="5"/>
      <c r="I177" s="5"/>
      <c r="J177" s="5"/>
      <c r="K177" s="76"/>
      <c r="L177" s="76"/>
      <c r="M177" s="113"/>
      <c r="N177" s="109">
        <f t="shared" si="34"/>
        <v>164</v>
      </c>
      <c r="O177" s="110">
        <f t="shared" ca="1" si="35"/>
        <v>49319</v>
      </c>
      <c r="P177" s="114">
        <f t="shared" si="26"/>
        <v>-3150.23</v>
      </c>
      <c r="Q177" s="114">
        <f t="shared" si="27"/>
        <v>-3292.85</v>
      </c>
      <c r="R177" s="114">
        <f t="shared" si="28"/>
        <v>-6443.08</v>
      </c>
      <c r="S177" s="114">
        <f t="shared" si="30"/>
        <v>-53.36</v>
      </c>
      <c r="T177" s="114">
        <f t="shared" si="31"/>
        <v>-357</v>
      </c>
      <c r="U177" s="114">
        <f t="shared" si="32"/>
        <v>-27.32</v>
      </c>
      <c r="V177" s="114">
        <f t="shared" si="33"/>
        <v>-6880.7599999999993</v>
      </c>
      <c r="W177" s="114">
        <f t="shared" si="29"/>
        <v>239416.89549999998</v>
      </c>
    </row>
    <row r="178" spans="2:23" s="18" customFormat="1" x14ac:dyDescent="0.25">
      <c r="B178" s="2"/>
      <c r="C178" s="3"/>
      <c r="D178" s="3"/>
      <c r="E178" s="4"/>
      <c r="F178" s="4"/>
      <c r="G178" s="5"/>
      <c r="H178" s="5"/>
      <c r="I178" s="5"/>
      <c r="J178" s="5"/>
      <c r="K178" s="76"/>
      <c r="L178" s="76"/>
      <c r="M178" s="113"/>
      <c r="N178" s="109">
        <f t="shared" si="34"/>
        <v>165</v>
      </c>
      <c r="O178" s="110">
        <f t="shared" ca="1" si="35"/>
        <v>49350</v>
      </c>
      <c r="P178" s="114">
        <f t="shared" si="26"/>
        <v>-3150.23</v>
      </c>
      <c r="Q178" s="114">
        <f t="shared" si="27"/>
        <v>-3250.08</v>
      </c>
      <c r="R178" s="114">
        <f t="shared" si="28"/>
        <v>-6400.31</v>
      </c>
      <c r="S178" s="114">
        <f t="shared" si="30"/>
        <v>-52.67</v>
      </c>
      <c r="T178" s="114">
        <f t="shared" si="31"/>
        <v>-357</v>
      </c>
      <c r="U178" s="114">
        <f t="shared" si="32"/>
        <v>-27.32</v>
      </c>
      <c r="V178" s="114">
        <f t="shared" si="33"/>
        <v>-6837.3</v>
      </c>
      <c r="W178" s="114">
        <f t="shared" si="29"/>
        <v>236266.66990000001</v>
      </c>
    </row>
    <row r="179" spans="2:23" x14ac:dyDescent="0.25">
      <c r="M179" s="113"/>
      <c r="N179" s="109">
        <f t="shared" si="34"/>
        <v>166</v>
      </c>
      <c r="O179" s="110">
        <f t="shared" ca="1" si="35"/>
        <v>49378</v>
      </c>
      <c r="P179" s="114">
        <f t="shared" si="26"/>
        <v>-3150.23</v>
      </c>
      <c r="Q179" s="114">
        <f t="shared" si="27"/>
        <v>-3207.32</v>
      </c>
      <c r="R179" s="114">
        <f t="shared" si="28"/>
        <v>-6357.55</v>
      </c>
      <c r="S179" s="114">
        <f t="shared" si="30"/>
        <v>-51.98</v>
      </c>
      <c r="T179" s="114">
        <f t="shared" si="31"/>
        <v>-357</v>
      </c>
      <c r="U179" s="114">
        <f t="shared" si="32"/>
        <v>-27.32</v>
      </c>
      <c r="V179" s="114">
        <f t="shared" si="33"/>
        <v>-6793.8499999999995</v>
      </c>
      <c r="W179" s="114">
        <f t="shared" si="29"/>
        <v>233116.43989999997</v>
      </c>
    </row>
    <row r="180" spans="2:23" x14ac:dyDescent="0.25">
      <c r="M180" s="113"/>
      <c r="N180" s="109">
        <f t="shared" si="34"/>
        <v>167</v>
      </c>
      <c r="O180" s="110">
        <f t="shared" ca="1" si="35"/>
        <v>49409</v>
      </c>
      <c r="P180" s="114">
        <f t="shared" si="26"/>
        <v>-3150.23</v>
      </c>
      <c r="Q180" s="114">
        <f t="shared" si="27"/>
        <v>-3164.56</v>
      </c>
      <c r="R180" s="114">
        <f t="shared" si="28"/>
        <v>-6314.79</v>
      </c>
      <c r="S180" s="114">
        <f t="shared" si="30"/>
        <v>-51.29</v>
      </c>
      <c r="T180" s="114">
        <f t="shared" si="31"/>
        <v>-357</v>
      </c>
      <c r="U180" s="114">
        <f t="shared" si="32"/>
        <v>-27.32</v>
      </c>
      <c r="V180" s="114">
        <f t="shared" si="33"/>
        <v>-6750.4</v>
      </c>
      <c r="W180" s="114">
        <f t="shared" si="29"/>
        <v>229966.20559999999</v>
      </c>
    </row>
    <row r="181" spans="2:23" x14ac:dyDescent="0.25">
      <c r="M181" s="113"/>
      <c r="N181" s="109">
        <f t="shared" si="34"/>
        <v>168</v>
      </c>
      <c r="O181" s="110">
        <f t="shared" ca="1" si="35"/>
        <v>49439</v>
      </c>
      <c r="P181" s="114">
        <f t="shared" si="26"/>
        <v>-3150.23</v>
      </c>
      <c r="Q181" s="114">
        <f t="shared" si="27"/>
        <v>-3121.79</v>
      </c>
      <c r="R181" s="114">
        <f t="shared" si="28"/>
        <v>-6272.02</v>
      </c>
      <c r="S181" s="114">
        <f t="shared" si="30"/>
        <v>-50.59</v>
      </c>
      <c r="T181" s="114">
        <f t="shared" si="31"/>
        <v>-357</v>
      </c>
      <c r="U181" s="114">
        <f t="shared" si="32"/>
        <v>-27.32</v>
      </c>
      <c r="V181" s="114">
        <f t="shared" si="33"/>
        <v>-6706.93</v>
      </c>
      <c r="W181" s="114">
        <f t="shared" si="29"/>
        <v>226815.97679999997</v>
      </c>
    </row>
    <row r="182" spans="2:23" x14ac:dyDescent="0.25">
      <c r="M182" s="113"/>
      <c r="N182" s="109">
        <f t="shared" si="34"/>
        <v>169</v>
      </c>
      <c r="O182" s="110">
        <f t="shared" ca="1" si="35"/>
        <v>49470</v>
      </c>
      <c r="P182" s="114">
        <f t="shared" si="26"/>
        <v>-3150.23</v>
      </c>
      <c r="Q182" s="114">
        <f t="shared" si="27"/>
        <v>-3079.03</v>
      </c>
      <c r="R182" s="114">
        <f t="shared" si="28"/>
        <v>-6229.26</v>
      </c>
      <c r="S182" s="114">
        <f t="shared" si="30"/>
        <v>-49.9</v>
      </c>
      <c r="T182" s="114">
        <f t="shared" si="31"/>
        <v>-357</v>
      </c>
      <c r="U182" s="114">
        <f t="shared" si="32"/>
        <v>-27.32</v>
      </c>
      <c r="V182" s="114">
        <f t="shared" si="33"/>
        <v>-6663.48</v>
      </c>
      <c r="W182" s="114">
        <f t="shared" si="29"/>
        <v>223665.74369999999</v>
      </c>
    </row>
    <row r="183" spans="2:23" x14ac:dyDescent="0.25">
      <c r="M183" s="113"/>
      <c r="N183" s="109">
        <f t="shared" si="34"/>
        <v>170</v>
      </c>
      <c r="O183" s="110">
        <f t="shared" ca="1" si="35"/>
        <v>49500</v>
      </c>
      <c r="P183" s="114">
        <f t="shared" si="26"/>
        <v>-3150.23</v>
      </c>
      <c r="Q183" s="114">
        <f t="shared" si="27"/>
        <v>-3036.26</v>
      </c>
      <c r="R183" s="114">
        <f t="shared" si="28"/>
        <v>-6186.49</v>
      </c>
      <c r="S183" s="114">
        <f t="shared" si="30"/>
        <v>-49.21</v>
      </c>
      <c r="T183" s="114">
        <f t="shared" si="31"/>
        <v>-357</v>
      </c>
      <c r="U183" s="114">
        <f t="shared" si="32"/>
        <v>-27.32</v>
      </c>
      <c r="V183" s="114">
        <f t="shared" si="33"/>
        <v>-6620.0199999999995</v>
      </c>
      <c r="W183" s="114">
        <f t="shared" si="29"/>
        <v>220515.51619999998</v>
      </c>
    </row>
    <row r="184" spans="2:23" x14ac:dyDescent="0.25">
      <c r="M184" s="113"/>
      <c r="N184" s="109">
        <f t="shared" si="34"/>
        <v>171</v>
      </c>
      <c r="O184" s="110">
        <f t="shared" ca="1" si="35"/>
        <v>49531</v>
      </c>
      <c r="P184" s="114">
        <f t="shared" si="26"/>
        <v>-3150.23</v>
      </c>
      <c r="Q184" s="114">
        <f t="shared" si="27"/>
        <v>-2993.5</v>
      </c>
      <c r="R184" s="114">
        <f t="shared" si="28"/>
        <v>-6143.73</v>
      </c>
      <c r="S184" s="114">
        <f t="shared" si="30"/>
        <v>-48.51</v>
      </c>
      <c r="T184" s="114">
        <f t="shared" si="31"/>
        <v>-357</v>
      </c>
      <c r="U184" s="114">
        <f t="shared" si="32"/>
        <v>-27.32</v>
      </c>
      <c r="V184" s="114">
        <f t="shared" si="33"/>
        <v>-6576.5599999999995</v>
      </c>
      <c r="W184" s="114">
        <f t="shared" si="29"/>
        <v>217365.2843</v>
      </c>
    </row>
    <row r="185" spans="2:23" x14ac:dyDescent="0.25">
      <c r="M185" s="113"/>
      <c r="N185" s="109">
        <f t="shared" si="34"/>
        <v>172</v>
      </c>
      <c r="O185" s="110">
        <f t="shared" ca="1" si="35"/>
        <v>49562</v>
      </c>
      <c r="P185" s="114">
        <f t="shared" si="26"/>
        <v>-3150.23</v>
      </c>
      <c r="Q185" s="114">
        <f t="shared" si="27"/>
        <v>-2950.73</v>
      </c>
      <c r="R185" s="114">
        <f t="shared" si="28"/>
        <v>-6100.96</v>
      </c>
      <c r="S185" s="114">
        <f t="shared" si="30"/>
        <v>-47.82</v>
      </c>
      <c r="T185" s="114">
        <f t="shared" si="31"/>
        <v>-357</v>
      </c>
      <c r="U185" s="114">
        <f t="shared" si="32"/>
        <v>-27.32</v>
      </c>
      <c r="V185" s="114">
        <f t="shared" si="33"/>
        <v>-6533.0999999999995</v>
      </c>
      <c r="W185" s="114">
        <f t="shared" si="29"/>
        <v>214215.05799999999</v>
      </c>
    </row>
    <row r="186" spans="2:23" x14ac:dyDescent="0.25">
      <c r="M186" s="113"/>
      <c r="N186" s="109">
        <f t="shared" si="34"/>
        <v>173</v>
      </c>
      <c r="O186" s="110">
        <f t="shared" ca="1" si="35"/>
        <v>49592</v>
      </c>
      <c r="P186" s="114">
        <f t="shared" si="26"/>
        <v>-3150.23</v>
      </c>
      <c r="Q186" s="114">
        <f t="shared" si="27"/>
        <v>-2907.97</v>
      </c>
      <c r="R186" s="114">
        <f t="shared" si="28"/>
        <v>-6058.2</v>
      </c>
      <c r="S186" s="114">
        <f t="shared" si="30"/>
        <v>-47.13</v>
      </c>
      <c r="T186" s="114">
        <f t="shared" si="31"/>
        <v>-357</v>
      </c>
      <c r="U186" s="114">
        <f t="shared" si="32"/>
        <v>-27.32</v>
      </c>
      <c r="V186" s="114">
        <f t="shared" si="33"/>
        <v>-6489.65</v>
      </c>
      <c r="W186" s="114">
        <f t="shared" si="29"/>
        <v>211064.82739999998</v>
      </c>
    </row>
    <row r="187" spans="2:23" x14ac:dyDescent="0.25">
      <c r="M187" s="113"/>
      <c r="N187" s="109">
        <f t="shared" si="34"/>
        <v>174</v>
      </c>
      <c r="O187" s="110">
        <f t="shared" ca="1" si="35"/>
        <v>49623</v>
      </c>
      <c r="P187" s="114">
        <f t="shared" si="26"/>
        <v>-3150.23</v>
      </c>
      <c r="Q187" s="114">
        <f t="shared" si="27"/>
        <v>-2865.21</v>
      </c>
      <c r="R187" s="114">
        <f t="shared" si="28"/>
        <v>-6015.44</v>
      </c>
      <c r="S187" s="114">
        <f t="shared" si="30"/>
        <v>-46.43</v>
      </c>
      <c r="T187" s="114">
        <f t="shared" si="31"/>
        <v>-357</v>
      </c>
      <c r="U187" s="114">
        <f t="shared" si="32"/>
        <v>-27.32</v>
      </c>
      <c r="V187" s="114">
        <f t="shared" si="33"/>
        <v>-6446.19</v>
      </c>
      <c r="W187" s="114">
        <f t="shared" si="29"/>
        <v>207914.59239999999</v>
      </c>
    </row>
    <row r="188" spans="2:23" x14ac:dyDescent="0.25">
      <c r="M188" s="113"/>
      <c r="N188" s="109">
        <f t="shared" si="34"/>
        <v>175</v>
      </c>
      <c r="O188" s="110">
        <f t="shared" ca="1" si="35"/>
        <v>49653</v>
      </c>
      <c r="P188" s="114">
        <f t="shared" si="26"/>
        <v>-3150.23</v>
      </c>
      <c r="Q188" s="114">
        <f t="shared" si="27"/>
        <v>-2822.44</v>
      </c>
      <c r="R188" s="114">
        <f t="shared" si="28"/>
        <v>-5972.67</v>
      </c>
      <c r="S188" s="114">
        <f t="shared" si="30"/>
        <v>-45.74</v>
      </c>
      <c r="T188" s="114">
        <f t="shared" si="31"/>
        <v>-357</v>
      </c>
      <c r="U188" s="114">
        <f t="shared" si="32"/>
        <v>-27.32</v>
      </c>
      <c r="V188" s="114">
        <f t="shared" si="33"/>
        <v>-6402.73</v>
      </c>
      <c r="W188" s="114">
        <f t="shared" si="29"/>
        <v>204764.36299999998</v>
      </c>
    </row>
    <row r="189" spans="2:23" x14ac:dyDescent="0.25">
      <c r="M189" s="113"/>
      <c r="N189" s="109">
        <f t="shared" si="34"/>
        <v>176</v>
      </c>
      <c r="O189" s="110">
        <f t="shared" ca="1" si="35"/>
        <v>49684</v>
      </c>
      <c r="P189" s="114">
        <f t="shared" si="26"/>
        <v>-3150.23</v>
      </c>
      <c r="Q189" s="114">
        <f t="shared" si="27"/>
        <v>-2779.68</v>
      </c>
      <c r="R189" s="114">
        <f t="shared" si="28"/>
        <v>-5929.91</v>
      </c>
      <c r="S189" s="114">
        <f t="shared" si="30"/>
        <v>-45.05</v>
      </c>
      <c r="T189" s="114">
        <f t="shared" si="31"/>
        <v>-357</v>
      </c>
      <c r="U189" s="114">
        <f t="shared" si="32"/>
        <v>-27.32</v>
      </c>
      <c r="V189" s="114">
        <f t="shared" si="33"/>
        <v>-6359.28</v>
      </c>
      <c r="W189" s="114">
        <f t="shared" si="29"/>
        <v>201614.1292</v>
      </c>
    </row>
    <row r="190" spans="2:23" x14ac:dyDescent="0.25">
      <c r="M190" s="113"/>
      <c r="N190" s="109">
        <f t="shared" si="34"/>
        <v>177</v>
      </c>
      <c r="O190" s="110">
        <f t="shared" ca="1" si="35"/>
        <v>49715</v>
      </c>
      <c r="P190" s="114">
        <f t="shared" si="26"/>
        <v>-3150.23</v>
      </c>
      <c r="Q190" s="114">
        <f t="shared" si="27"/>
        <v>-2736.91</v>
      </c>
      <c r="R190" s="114">
        <f t="shared" si="28"/>
        <v>-5887.14</v>
      </c>
      <c r="S190" s="114">
        <f t="shared" si="30"/>
        <v>-44.36</v>
      </c>
      <c r="T190" s="114">
        <f t="shared" si="31"/>
        <v>-357</v>
      </c>
      <c r="U190" s="114">
        <f t="shared" si="32"/>
        <v>-27.32</v>
      </c>
      <c r="V190" s="114">
        <f t="shared" si="33"/>
        <v>-6315.82</v>
      </c>
      <c r="W190" s="114">
        <f t="shared" si="29"/>
        <v>198463.90099999998</v>
      </c>
    </row>
    <row r="191" spans="2:23" x14ac:dyDescent="0.25">
      <c r="M191" s="113"/>
      <c r="N191" s="109">
        <f t="shared" si="34"/>
        <v>178</v>
      </c>
      <c r="O191" s="110">
        <f t="shared" ca="1" si="35"/>
        <v>49744</v>
      </c>
      <c r="P191" s="114">
        <f t="shared" si="26"/>
        <v>-3150.23</v>
      </c>
      <c r="Q191" s="114">
        <f t="shared" si="27"/>
        <v>-2694.15</v>
      </c>
      <c r="R191" s="114">
        <f t="shared" si="28"/>
        <v>-5844.38</v>
      </c>
      <c r="S191" s="114">
        <f t="shared" si="30"/>
        <v>-43.66</v>
      </c>
      <c r="T191" s="114">
        <f t="shared" si="31"/>
        <v>-357</v>
      </c>
      <c r="U191" s="114">
        <f t="shared" si="32"/>
        <v>-27.32</v>
      </c>
      <c r="V191" s="114">
        <f t="shared" si="33"/>
        <v>-6272.36</v>
      </c>
      <c r="W191" s="114">
        <f t="shared" si="29"/>
        <v>195313.6685</v>
      </c>
    </row>
    <row r="192" spans="2:23" x14ac:dyDescent="0.25">
      <c r="M192" s="113"/>
      <c r="N192" s="109">
        <f t="shared" si="34"/>
        <v>179</v>
      </c>
      <c r="O192" s="110">
        <f t="shared" ca="1" si="35"/>
        <v>49775</v>
      </c>
      <c r="P192" s="114">
        <f t="shared" si="26"/>
        <v>-3150.23</v>
      </c>
      <c r="Q192" s="114">
        <f t="shared" si="27"/>
        <v>-2651.38</v>
      </c>
      <c r="R192" s="114">
        <f t="shared" si="28"/>
        <v>-5801.61</v>
      </c>
      <c r="S192" s="114">
        <f t="shared" si="30"/>
        <v>-42.97</v>
      </c>
      <c r="T192" s="114">
        <f t="shared" si="31"/>
        <v>-357</v>
      </c>
      <c r="U192" s="114">
        <f t="shared" si="32"/>
        <v>-27.32</v>
      </c>
      <c r="V192" s="114">
        <f t="shared" si="33"/>
        <v>-6228.9</v>
      </c>
      <c r="W192" s="114">
        <f t="shared" si="29"/>
        <v>192163.44149999999</v>
      </c>
    </row>
    <row r="193" spans="13:23" x14ac:dyDescent="0.25">
      <c r="M193" s="113"/>
      <c r="N193" s="109">
        <f t="shared" si="34"/>
        <v>180</v>
      </c>
      <c r="O193" s="110">
        <f t="shared" ca="1" si="35"/>
        <v>49805</v>
      </c>
      <c r="P193" s="114">
        <f t="shared" si="26"/>
        <v>-3150.23</v>
      </c>
      <c r="Q193" s="114">
        <f t="shared" si="27"/>
        <v>-2608.62</v>
      </c>
      <c r="R193" s="114">
        <f t="shared" si="28"/>
        <v>-5758.85</v>
      </c>
      <c r="S193" s="114">
        <f t="shared" si="30"/>
        <v>-42.28</v>
      </c>
      <c r="T193" s="114">
        <f t="shared" si="31"/>
        <v>-357</v>
      </c>
      <c r="U193" s="114">
        <f t="shared" si="32"/>
        <v>-27.32</v>
      </c>
      <c r="V193" s="114">
        <f t="shared" si="33"/>
        <v>-6185.45</v>
      </c>
      <c r="W193" s="114">
        <f t="shared" si="29"/>
        <v>189013.2102</v>
      </c>
    </row>
    <row r="194" spans="13:23" x14ac:dyDescent="0.25">
      <c r="M194" s="113"/>
      <c r="N194" s="109">
        <f t="shared" si="34"/>
        <v>181</v>
      </c>
      <c r="O194" s="110">
        <f t="shared" ca="1" si="35"/>
        <v>49836</v>
      </c>
      <c r="P194" s="114">
        <f t="shared" si="26"/>
        <v>-3150.23</v>
      </c>
      <c r="Q194" s="114">
        <f t="shared" si="27"/>
        <v>-2565.85</v>
      </c>
      <c r="R194" s="114">
        <f t="shared" si="28"/>
        <v>-5716.08</v>
      </c>
      <c r="S194" s="114">
        <f t="shared" si="30"/>
        <v>-41.58</v>
      </c>
      <c r="T194" s="114">
        <f t="shared" si="31"/>
        <v>-357</v>
      </c>
      <c r="U194" s="114">
        <f t="shared" si="32"/>
        <v>-27.32</v>
      </c>
      <c r="V194" s="114">
        <f t="shared" si="33"/>
        <v>-6141.98</v>
      </c>
      <c r="W194" s="114">
        <f t="shared" si="29"/>
        <v>185862.98449999999</v>
      </c>
    </row>
    <row r="195" spans="13:23" x14ac:dyDescent="0.25">
      <c r="M195" s="113"/>
      <c r="N195" s="109">
        <f t="shared" si="34"/>
        <v>182</v>
      </c>
      <c r="O195" s="110">
        <f t="shared" ca="1" si="35"/>
        <v>49866</v>
      </c>
      <c r="P195" s="114">
        <f t="shared" si="26"/>
        <v>-3150.23</v>
      </c>
      <c r="Q195" s="114">
        <f t="shared" si="27"/>
        <v>-2523.09</v>
      </c>
      <c r="R195" s="114">
        <f t="shared" si="28"/>
        <v>-5673.32</v>
      </c>
      <c r="S195" s="114">
        <f t="shared" si="30"/>
        <v>-40.89</v>
      </c>
      <c r="T195" s="114">
        <f t="shared" si="31"/>
        <v>-357</v>
      </c>
      <c r="U195" s="114">
        <f t="shared" si="32"/>
        <v>-27.32</v>
      </c>
      <c r="V195" s="114">
        <f t="shared" si="33"/>
        <v>-6098.53</v>
      </c>
      <c r="W195" s="114">
        <f t="shared" si="29"/>
        <v>182712.75449999998</v>
      </c>
    </row>
    <row r="196" spans="13:23" x14ac:dyDescent="0.25">
      <c r="M196" s="113"/>
      <c r="N196" s="109">
        <f t="shared" si="34"/>
        <v>183</v>
      </c>
      <c r="O196" s="110">
        <f t="shared" ca="1" si="35"/>
        <v>49897</v>
      </c>
      <c r="P196" s="114">
        <f t="shared" si="26"/>
        <v>-3150.23</v>
      </c>
      <c r="Q196" s="114">
        <f t="shared" si="27"/>
        <v>-2480.33</v>
      </c>
      <c r="R196" s="114">
        <f t="shared" si="28"/>
        <v>-5630.56</v>
      </c>
      <c r="S196" s="114">
        <f t="shared" si="30"/>
        <v>-40.200000000000003</v>
      </c>
      <c r="T196" s="114">
        <f t="shared" si="31"/>
        <v>-357</v>
      </c>
      <c r="U196" s="114">
        <f t="shared" si="32"/>
        <v>-27.32</v>
      </c>
      <c r="V196" s="114">
        <f t="shared" si="33"/>
        <v>-6055.08</v>
      </c>
      <c r="W196" s="114">
        <f t="shared" si="29"/>
        <v>179562.52009999999</v>
      </c>
    </row>
    <row r="197" spans="13:23" x14ac:dyDescent="0.25">
      <c r="M197" s="113"/>
      <c r="N197" s="109">
        <f t="shared" si="34"/>
        <v>184</v>
      </c>
      <c r="O197" s="110">
        <f t="shared" ca="1" si="35"/>
        <v>49928</v>
      </c>
      <c r="P197" s="114">
        <f t="shared" si="26"/>
        <v>-3150.23</v>
      </c>
      <c r="Q197" s="114">
        <f t="shared" si="27"/>
        <v>-2437.56</v>
      </c>
      <c r="R197" s="114">
        <f t="shared" si="28"/>
        <v>-5587.79</v>
      </c>
      <c r="S197" s="114">
        <f t="shared" si="30"/>
        <v>-39.5</v>
      </c>
      <c r="T197" s="114">
        <f t="shared" si="31"/>
        <v>-357</v>
      </c>
      <c r="U197" s="114">
        <f t="shared" si="32"/>
        <v>-27.32</v>
      </c>
      <c r="V197" s="114">
        <f t="shared" si="33"/>
        <v>-6011.61</v>
      </c>
      <c r="W197" s="114">
        <f t="shared" si="29"/>
        <v>176412.29129999998</v>
      </c>
    </row>
    <row r="198" spans="13:23" x14ac:dyDescent="0.25">
      <c r="M198" s="113"/>
      <c r="N198" s="109">
        <f t="shared" si="34"/>
        <v>185</v>
      </c>
      <c r="O198" s="110">
        <f t="shared" ca="1" si="35"/>
        <v>49958</v>
      </c>
      <c r="P198" s="114">
        <f t="shared" si="26"/>
        <v>-3150.23</v>
      </c>
      <c r="Q198" s="114">
        <f t="shared" si="27"/>
        <v>-2394.8000000000002</v>
      </c>
      <c r="R198" s="114">
        <f t="shared" si="28"/>
        <v>-5545.03</v>
      </c>
      <c r="S198" s="114">
        <f t="shared" si="30"/>
        <v>-38.81</v>
      </c>
      <c r="T198" s="114">
        <f t="shared" si="31"/>
        <v>-357</v>
      </c>
      <c r="U198" s="114">
        <f t="shared" si="32"/>
        <v>-27.32</v>
      </c>
      <c r="V198" s="114">
        <f t="shared" si="33"/>
        <v>-5968.16</v>
      </c>
      <c r="W198" s="114">
        <f t="shared" si="29"/>
        <v>173262.0582</v>
      </c>
    </row>
    <row r="199" spans="13:23" x14ac:dyDescent="0.25">
      <c r="M199" s="113"/>
      <c r="N199" s="109">
        <f t="shared" si="34"/>
        <v>186</v>
      </c>
      <c r="O199" s="110">
        <f t="shared" ca="1" si="35"/>
        <v>49989</v>
      </c>
      <c r="P199" s="114">
        <f t="shared" si="26"/>
        <v>-3150.23</v>
      </c>
      <c r="Q199" s="114">
        <f t="shared" si="27"/>
        <v>-2352.0300000000002</v>
      </c>
      <c r="R199" s="114">
        <f t="shared" si="28"/>
        <v>-5502.26</v>
      </c>
      <c r="S199" s="114">
        <f t="shared" si="30"/>
        <v>-38.119999999999997</v>
      </c>
      <c r="T199" s="114">
        <f t="shared" si="31"/>
        <v>-357</v>
      </c>
      <c r="U199" s="114">
        <f t="shared" si="32"/>
        <v>-27.32</v>
      </c>
      <c r="V199" s="114">
        <f t="shared" si="33"/>
        <v>-5924.7</v>
      </c>
      <c r="W199" s="114">
        <f t="shared" si="29"/>
        <v>170111.83059999999</v>
      </c>
    </row>
    <row r="200" spans="13:23" x14ac:dyDescent="0.25">
      <c r="M200" s="113"/>
      <c r="N200" s="109">
        <f t="shared" si="34"/>
        <v>187</v>
      </c>
      <c r="O200" s="110">
        <f t="shared" ca="1" si="35"/>
        <v>50019</v>
      </c>
      <c r="P200" s="114">
        <f t="shared" si="26"/>
        <v>-3150.23</v>
      </c>
      <c r="Q200" s="114">
        <f t="shared" si="27"/>
        <v>-2309.27</v>
      </c>
      <c r="R200" s="114">
        <f t="shared" si="28"/>
        <v>-5459.5</v>
      </c>
      <c r="S200" s="114">
        <f t="shared" si="30"/>
        <v>-37.42</v>
      </c>
      <c r="T200" s="114">
        <f t="shared" si="31"/>
        <v>-357</v>
      </c>
      <c r="U200" s="114">
        <f t="shared" si="32"/>
        <v>-27.32</v>
      </c>
      <c r="V200" s="114">
        <f t="shared" si="33"/>
        <v>-5881.24</v>
      </c>
      <c r="W200" s="114">
        <f t="shared" si="29"/>
        <v>166961.5987</v>
      </c>
    </row>
    <row r="201" spans="13:23" x14ac:dyDescent="0.25">
      <c r="M201" s="113"/>
      <c r="N201" s="109">
        <f t="shared" si="34"/>
        <v>188</v>
      </c>
      <c r="O201" s="110">
        <f t="shared" ca="1" si="35"/>
        <v>50050</v>
      </c>
      <c r="P201" s="114">
        <f t="shared" si="26"/>
        <v>-3150.23</v>
      </c>
      <c r="Q201" s="114">
        <f t="shared" si="27"/>
        <v>-2266.5</v>
      </c>
      <c r="R201" s="114">
        <f t="shared" si="28"/>
        <v>-5416.73</v>
      </c>
      <c r="S201" s="114">
        <f t="shared" si="30"/>
        <v>-36.729999999999997</v>
      </c>
      <c r="T201" s="114">
        <f t="shared" si="31"/>
        <v>-357</v>
      </c>
      <c r="U201" s="114">
        <f t="shared" si="32"/>
        <v>-27.32</v>
      </c>
      <c r="V201" s="114">
        <f t="shared" si="33"/>
        <v>-5837.7799999999988</v>
      </c>
      <c r="W201" s="114">
        <f t="shared" si="29"/>
        <v>163811.37239999999</v>
      </c>
    </row>
    <row r="202" spans="13:23" x14ac:dyDescent="0.25">
      <c r="M202" s="113"/>
      <c r="N202" s="109">
        <f t="shared" si="34"/>
        <v>189</v>
      </c>
      <c r="O202" s="110">
        <f t="shared" ca="1" si="35"/>
        <v>50081</v>
      </c>
      <c r="P202" s="114">
        <f t="shared" si="26"/>
        <v>-3150.23</v>
      </c>
      <c r="Q202" s="114">
        <f t="shared" si="27"/>
        <v>-2223.7399999999998</v>
      </c>
      <c r="R202" s="114">
        <f t="shared" si="28"/>
        <v>-5373.97</v>
      </c>
      <c r="S202" s="114">
        <f t="shared" si="30"/>
        <v>-36.04</v>
      </c>
      <c r="T202" s="114">
        <f t="shared" si="31"/>
        <v>-357</v>
      </c>
      <c r="U202" s="114">
        <f t="shared" si="32"/>
        <v>-27.32</v>
      </c>
      <c r="V202" s="114">
        <f t="shared" si="33"/>
        <v>-5794.33</v>
      </c>
      <c r="W202" s="114">
        <f t="shared" si="29"/>
        <v>160661.14180000001</v>
      </c>
    </row>
    <row r="203" spans="13:23" x14ac:dyDescent="0.25">
      <c r="M203" s="113"/>
      <c r="N203" s="109">
        <f t="shared" si="34"/>
        <v>190</v>
      </c>
      <c r="O203" s="110">
        <f t="shared" ca="1" si="35"/>
        <v>50109</v>
      </c>
      <c r="P203" s="114">
        <f t="shared" si="26"/>
        <v>-3150.23</v>
      </c>
      <c r="Q203" s="114">
        <f t="shared" si="27"/>
        <v>-2180.9699999999998</v>
      </c>
      <c r="R203" s="114">
        <f t="shared" si="28"/>
        <v>-5331.2</v>
      </c>
      <c r="S203" s="114">
        <f t="shared" si="30"/>
        <v>-35.35</v>
      </c>
      <c r="T203" s="114">
        <f t="shared" si="31"/>
        <v>-357</v>
      </c>
      <c r="U203" s="114">
        <f t="shared" si="32"/>
        <v>-27.32</v>
      </c>
      <c r="V203" s="114">
        <f t="shared" si="33"/>
        <v>-5750.87</v>
      </c>
      <c r="W203" s="114">
        <f t="shared" si="29"/>
        <v>157510.91679999998</v>
      </c>
    </row>
    <row r="204" spans="13:23" x14ac:dyDescent="0.25">
      <c r="M204" s="113"/>
      <c r="N204" s="109">
        <f t="shared" si="34"/>
        <v>191</v>
      </c>
      <c r="O204" s="110">
        <f t="shared" ca="1" si="35"/>
        <v>50140</v>
      </c>
      <c r="P204" s="114">
        <f t="shared" si="26"/>
        <v>-3150.23</v>
      </c>
      <c r="Q204" s="114">
        <f t="shared" si="27"/>
        <v>-2138.21</v>
      </c>
      <c r="R204" s="114">
        <f t="shared" si="28"/>
        <v>-5288.44</v>
      </c>
      <c r="S204" s="114">
        <f t="shared" si="30"/>
        <v>-34.65</v>
      </c>
      <c r="T204" s="114">
        <f t="shared" si="31"/>
        <v>-357</v>
      </c>
      <c r="U204" s="114">
        <f t="shared" si="32"/>
        <v>-27.32</v>
      </c>
      <c r="V204" s="114">
        <f t="shared" si="33"/>
        <v>-5707.4099999999989</v>
      </c>
      <c r="W204" s="114">
        <f t="shared" si="29"/>
        <v>154360.6875</v>
      </c>
    </row>
    <row r="205" spans="13:23" x14ac:dyDescent="0.25">
      <c r="M205" s="113"/>
      <c r="N205" s="109">
        <f t="shared" si="34"/>
        <v>192</v>
      </c>
      <c r="O205" s="110">
        <f t="shared" ca="1" si="35"/>
        <v>50170</v>
      </c>
      <c r="P205" s="114">
        <f t="shared" si="26"/>
        <v>-3150.23</v>
      </c>
      <c r="Q205" s="114">
        <f t="shared" si="27"/>
        <v>-2095.4499999999998</v>
      </c>
      <c r="R205" s="114">
        <f t="shared" si="28"/>
        <v>-5245.68</v>
      </c>
      <c r="S205" s="114">
        <f t="shared" si="30"/>
        <v>-33.96</v>
      </c>
      <c r="T205" s="114">
        <f t="shared" si="31"/>
        <v>-357</v>
      </c>
      <c r="U205" s="114">
        <f t="shared" si="32"/>
        <v>-27.32</v>
      </c>
      <c r="V205" s="114">
        <f t="shared" si="33"/>
        <v>-5663.96</v>
      </c>
      <c r="W205" s="114">
        <f t="shared" si="29"/>
        <v>151210.45379999999</v>
      </c>
    </row>
    <row r="206" spans="13:23" x14ac:dyDescent="0.25">
      <c r="M206" s="113"/>
      <c r="N206" s="109">
        <f t="shared" si="34"/>
        <v>193</v>
      </c>
      <c r="O206" s="110">
        <f t="shared" ca="1" si="35"/>
        <v>50201</v>
      </c>
      <c r="P206" s="114">
        <f t="shared" ref="P206:P269" si="36">IFERROR(IF(W205="","",IF(W205&lt;1,"",IF($F$32=1,IF(W205&lt;=0,0,IF($I$8="PRICE",IF(N206&lt;=$F$30,0,IF(N206="","",R206-Q206)),IF(N206&lt;=$F$30,0,IF(N206="","",ROUND((-$F$29/$T$8),2))))),IF(W205&lt;=0,0,IF($I$8="PRICE",IF(N206&lt;=$F$30,0,IF(N206="","",R206-Q206)),IF(N206&lt;=$F$30,0,IF(N206="","",ROUND((-$F$29/$F$28),2)))))))),"")</f>
        <v>-3150.23</v>
      </c>
      <c r="Q206" s="114">
        <f t="shared" ref="Q206:Q269" si="37">IFERROR(IF(W205="","",IF(W205&lt;=1,"",IF($I$20="Amortização e Encargos",IF(N206&lt;=$F$30,0,IF(N206="","",ROUND(($I$26*W205*-1),2))),IF(N206="","",ROUND(($I$26*W205*-1),2))))),"")</f>
        <v>-2052.6799999999998</v>
      </c>
      <c r="R206" s="114">
        <f t="shared" ref="R206:R269" si="38">IFERROR(IF(W205="","",IF(W205&lt;1,"",IF($F$32=1,IF(W205&lt;=0,0,IF($I$8="PRICE",IF($F$31=1,IF(N206&lt;=$F$30,ROUND((P206+Q206),2),IF(N206="","",ROUND((PMT($I$26,$T$8,$F$29,0,0)),2))),IF(N206="","",ROUND((P206+Q206),2))),IF(N206="","",ROUND((P206+Q206),2)))),IF(W205&lt;=0,ROUND((P206+Q206),2),IF($I$8="PRICE",IF($F$31=1,IF(N206&lt;=$F$30,ROUND((P206+Q206),2),IF(N206="","",ROUND((PMT($I$26,$F$28,$F$29,0,0)),2))),IF(N206="","",ROUND((P206+Q206),2))),IF(N206="","",ROUND((P206+Q206),2))))))),"")</f>
        <v>-5202.91</v>
      </c>
      <c r="S206" s="114">
        <f t="shared" si="30"/>
        <v>-33.270000000000003</v>
      </c>
      <c r="T206" s="114">
        <f t="shared" si="31"/>
        <v>-357</v>
      </c>
      <c r="U206" s="114">
        <f t="shared" si="32"/>
        <v>-27.32</v>
      </c>
      <c r="V206" s="114">
        <f t="shared" si="33"/>
        <v>-5620.5</v>
      </c>
      <c r="W206" s="114">
        <f t="shared" ref="W206:W269" si="39">IFERROR(IF(IF(W205="","",IF(W205&lt;1,"",IF(Q206=0,ROUND((W205*(1+$I$26)),4),ROUND((W205*(1+$I$26)),4)+P206+Q206)))&lt;3,0,(IF(W205="","",IF(W205&lt;1,"",IF(Q206=0,ROUND((W205*(1+$I$26)),4),ROUND((W205*(1+$I$26)),4)+P206+Q206))))),"")</f>
        <v>148060.22570000001</v>
      </c>
    </row>
    <row r="207" spans="13:23" x14ac:dyDescent="0.25">
      <c r="M207" s="113"/>
      <c r="N207" s="109">
        <f t="shared" si="34"/>
        <v>194</v>
      </c>
      <c r="O207" s="110">
        <f t="shared" ca="1" si="35"/>
        <v>50231</v>
      </c>
      <c r="P207" s="114">
        <f t="shared" si="36"/>
        <v>-3150.23</v>
      </c>
      <c r="Q207" s="114">
        <f t="shared" si="37"/>
        <v>-2009.92</v>
      </c>
      <c r="R207" s="114">
        <f t="shared" si="38"/>
        <v>-5160.1499999999996</v>
      </c>
      <c r="S207" s="114">
        <f t="shared" ref="S207:S270" si="40">IFERROR(IF(W206="","",IF(W206&lt;=1,"",IF(N207="","",ROUND(($F$23*W206*-1),2)))),"")</f>
        <v>-32.57</v>
      </c>
      <c r="T207" s="114">
        <f t="shared" ref="T207:T270" si="41">IFERROR(IF(W206="","",IF(W206&lt;=1,"",IF(N207="","",ROUND((-$I$6*$F$24),2)))),"")</f>
        <v>-357</v>
      </c>
      <c r="U207" s="114">
        <f t="shared" ref="U207:U270" si="42">IFERROR(IF(W206="","",IF(W206&lt;=1,"",IF(T207="","",ROUND((-$C$11),2)))),"")</f>
        <v>-27.32</v>
      </c>
      <c r="V207" s="114">
        <f t="shared" ref="V207:V270" si="43">IFERROR(IF(W206="","",IF(W206&lt;1,"",IF(N207="","",(R207+S207+T207+U207)))),"")</f>
        <v>-5577.0399999999991</v>
      </c>
      <c r="W207" s="114">
        <f t="shared" si="39"/>
        <v>144909.99329999997</v>
      </c>
    </row>
    <row r="208" spans="13:23" x14ac:dyDescent="0.25">
      <c r="M208" s="113"/>
      <c r="N208" s="109">
        <f t="shared" si="34"/>
        <v>195</v>
      </c>
      <c r="O208" s="110">
        <f t="shared" ca="1" si="35"/>
        <v>50262</v>
      </c>
      <c r="P208" s="114">
        <f t="shared" si="36"/>
        <v>-3150.23</v>
      </c>
      <c r="Q208" s="114">
        <f t="shared" si="37"/>
        <v>-1967.15</v>
      </c>
      <c r="R208" s="114">
        <f t="shared" si="38"/>
        <v>-5117.38</v>
      </c>
      <c r="S208" s="114">
        <f t="shared" si="40"/>
        <v>-31.88</v>
      </c>
      <c r="T208" s="114">
        <f t="shared" si="41"/>
        <v>-357</v>
      </c>
      <c r="U208" s="114">
        <f t="shared" si="42"/>
        <v>-27.32</v>
      </c>
      <c r="V208" s="114">
        <f t="shared" si="43"/>
        <v>-5533.58</v>
      </c>
      <c r="W208" s="114">
        <f t="shared" si="39"/>
        <v>141759.7665</v>
      </c>
    </row>
    <row r="209" spans="13:23" x14ac:dyDescent="0.25">
      <c r="M209" s="113"/>
      <c r="N209" s="109">
        <f t="shared" si="34"/>
        <v>196</v>
      </c>
      <c r="O209" s="110">
        <f t="shared" ca="1" si="35"/>
        <v>50293</v>
      </c>
      <c r="P209" s="114">
        <f t="shared" si="36"/>
        <v>-3150.23</v>
      </c>
      <c r="Q209" s="114">
        <f t="shared" si="37"/>
        <v>-1924.39</v>
      </c>
      <c r="R209" s="114">
        <f t="shared" si="38"/>
        <v>-5074.62</v>
      </c>
      <c r="S209" s="114">
        <f t="shared" si="40"/>
        <v>-31.19</v>
      </c>
      <c r="T209" s="114">
        <f t="shared" si="41"/>
        <v>-357</v>
      </c>
      <c r="U209" s="114">
        <f t="shared" si="42"/>
        <v>-27.32</v>
      </c>
      <c r="V209" s="114">
        <f t="shared" si="43"/>
        <v>-5490.1299999999992</v>
      </c>
      <c r="W209" s="114">
        <f t="shared" si="39"/>
        <v>138609.53529999999</v>
      </c>
    </row>
    <row r="210" spans="13:23" x14ac:dyDescent="0.25">
      <c r="M210" s="113"/>
      <c r="N210" s="109">
        <f t="shared" ref="N210:N273" si="44">IF(OR(W209&lt;0.1,W209=""),"",N209+1)</f>
        <v>197</v>
      </c>
      <c r="O210" s="110">
        <f t="shared" ref="O210:O273" ca="1" si="45">IF(W210="","",IF(N210="","",EDATE(O209,1)))</f>
        <v>50323</v>
      </c>
      <c r="P210" s="114">
        <f t="shared" si="36"/>
        <v>-3150.23</v>
      </c>
      <c r="Q210" s="114">
        <f t="shared" si="37"/>
        <v>-1881.62</v>
      </c>
      <c r="R210" s="114">
        <f t="shared" si="38"/>
        <v>-5031.8500000000004</v>
      </c>
      <c r="S210" s="114">
        <f t="shared" si="40"/>
        <v>-30.49</v>
      </c>
      <c r="T210" s="114">
        <f t="shared" si="41"/>
        <v>-357</v>
      </c>
      <c r="U210" s="114">
        <f t="shared" si="42"/>
        <v>-27.32</v>
      </c>
      <c r="V210" s="114">
        <f t="shared" si="43"/>
        <v>-5446.66</v>
      </c>
      <c r="W210" s="114">
        <f t="shared" si="39"/>
        <v>135459.30969999998</v>
      </c>
    </row>
    <row r="211" spans="13:23" x14ac:dyDescent="0.25">
      <c r="M211" s="113"/>
      <c r="N211" s="109">
        <f t="shared" si="44"/>
        <v>198</v>
      </c>
      <c r="O211" s="110">
        <f t="shared" ca="1" si="45"/>
        <v>50354</v>
      </c>
      <c r="P211" s="114">
        <f t="shared" si="36"/>
        <v>-3150.23</v>
      </c>
      <c r="Q211" s="114">
        <f t="shared" si="37"/>
        <v>-1838.86</v>
      </c>
      <c r="R211" s="114">
        <f t="shared" si="38"/>
        <v>-4989.09</v>
      </c>
      <c r="S211" s="114">
        <f t="shared" si="40"/>
        <v>-29.8</v>
      </c>
      <c r="T211" s="114">
        <f t="shared" si="41"/>
        <v>-357</v>
      </c>
      <c r="U211" s="114">
        <f t="shared" si="42"/>
        <v>-27.32</v>
      </c>
      <c r="V211" s="114">
        <f t="shared" si="43"/>
        <v>-5403.21</v>
      </c>
      <c r="W211" s="114">
        <f t="shared" si="39"/>
        <v>132309.07980000001</v>
      </c>
    </row>
    <row r="212" spans="13:23" x14ac:dyDescent="0.25">
      <c r="M212" s="113"/>
      <c r="N212" s="109">
        <f t="shared" si="44"/>
        <v>199</v>
      </c>
      <c r="O212" s="110">
        <f t="shared" ca="1" si="45"/>
        <v>50384</v>
      </c>
      <c r="P212" s="114">
        <f t="shared" si="36"/>
        <v>-3150.23</v>
      </c>
      <c r="Q212" s="114">
        <f t="shared" si="37"/>
        <v>-1796.1</v>
      </c>
      <c r="R212" s="114">
        <f t="shared" si="38"/>
        <v>-4946.33</v>
      </c>
      <c r="S212" s="114">
        <f t="shared" si="40"/>
        <v>-29.11</v>
      </c>
      <c r="T212" s="114">
        <f t="shared" si="41"/>
        <v>-357</v>
      </c>
      <c r="U212" s="114">
        <f t="shared" si="42"/>
        <v>-27.32</v>
      </c>
      <c r="V212" s="114">
        <f t="shared" si="43"/>
        <v>-5359.7599999999993</v>
      </c>
      <c r="W212" s="114">
        <f t="shared" si="39"/>
        <v>129158.84559999999</v>
      </c>
    </row>
    <row r="213" spans="13:23" x14ac:dyDescent="0.25">
      <c r="M213" s="113"/>
      <c r="N213" s="109">
        <f t="shared" si="44"/>
        <v>200</v>
      </c>
      <c r="O213" s="110">
        <f t="shared" ca="1" si="45"/>
        <v>50415</v>
      </c>
      <c r="P213" s="114">
        <f t="shared" si="36"/>
        <v>-3150.23</v>
      </c>
      <c r="Q213" s="114">
        <f t="shared" si="37"/>
        <v>-1753.33</v>
      </c>
      <c r="R213" s="114">
        <f t="shared" si="38"/>
        <v>-4903.5600000000004</v>
      </c>
      <c r="S213" s="114">
        <f t="shared" si="40"/>
        <v>-28.41</v>
      </c>
      <c r="T213" s="114">
        <f t="shared" si="41"/>
        <v>-357</v>
      </c>
      <c r="U213" s="114">
        <f t="shared" si="42"/>
        <v>-27.32</v>
      </c>
      <c r="V213" s="114">
        <f t="shared" si="43"/>
        <v>-5316.29</v>
      </c>
      <c r="W213" s="114">
        <f t="shared" si="39"/>
        <v>126008.61690000001</v>
      </c>
    </row>
    <row r="214" spans="13:23" x14ac:dyDescent="0.25">
      <c r="M214" s="113"/>
      <c r="N214" s="109">
        <f t="shared" si="44"/>
        <v>201</v>
      </c>
      <c r="O214" s="110">
        <f t="shared" ca="1" si="45"/>
        <v>50446</v>
      </c>
      <c r="P214" s="114">
        <f t="shared" si="36"/>
        <v>-3150.23</v>
      </c>
      <c r="Q214" s="114">
        <f t="shared" si="37"/>
        <v>-1710.57</v>
      </c>
      <c r="R214" s="114">
        <f t="shared" si="38"/>
        <v>-4860.8</v>
      </c>
      <c r="S214" s="114">
        <f t="shared" si="40"/>
        <v>-27.72</v>
      </c>
      <c r="T214" s="114">
        <f t="shared" si="41"/>
        <v>-357</v>
      </c>
      <c r="U214" s="114">
        <f t="shared" si="42"/>
        <v>-27.32</v>
      </c>
      <c r="V214" s="114">
        <f t="shared" si="43"/>
        <v>-5272.84</v>
      </c>
      <c r="W214" s="114">
        <f t="shared" si="39"/>
        <v>122858.3839</v>
      </c>
    </row>
    <row r="215" spans="13:23" x14ac:dyDescent="0.25">
      <c r="M215" s="113"/>
      <c r="N215" s="109">
        <f t="shared" si="44"/>
        <v>202</v>
      </c>
      <c r="O215" s="110">
        <f t="shared" ca="1" si="45"/>
        <v>50474</v>
      </c>
      <c r="P215" s="114">
        <f t="shared" si="36"/>
        <v>-3150.23</v>
      </c>
      <c r="Q215" s="114">
        <f t="shared" si="37"/>
        <v>-1667.8</v>
      </c>
      <c r="R215" s="114">
        <f t="shared" si="38"/>
        <v>-4818.03</v>
      </c>
      <c r="S215" s="114">
        <f t="shared" si="40"/>
        <v>-27.03</v>
      </c>
      <c r="T215" s="114">
        <f t="shared" si="41"/>
        <v>-357</v>
      </c>
      <c r="U215" s="114">
        <f t="shared" si="42"/>
        <v>-27.32</v>
      </c>
      <c r="V215" s="114">
        <f t="shared" si="43"/>
        <v>-5229.3799999999992</v>
      </c>
      <c r="W215" s="114">
        <f t="shared" si="39"/>
        <v>119708.1565</v>
      </c>
    </row>
    <row r="216" spans="13:23" x14ac:dyDescent="0.25">
      <c r="M216" s="113"/>
      <c r="N216" s="109">
        <f t="shared" si="44"/>
        <v>203</v>
      </c>
      <c r="O216" s="110">
        <f t="shared" ca="1" si="45"/>
        <v>50505</v>
      </c>
      <c r="P216" s="114">
        <f t="shared" si="36"/>
        <v>-3150.23</v>
      </c>
      <c r="Q216" s="114">
        <f t="shared" si="37"/>
        <v>-1625.04</v>
      </c>
      <c r="R216" s="114">
        <f t="shared" si="38"/>
        <v>-4775.2700000000004</v>
      </c>
      <c r="S216" s="114">
        <f t="shared" si="40"/>
        <v>-26.34</v>
      </c>
      <c r="T216" s="114">
        <f t="shared" si="41"/>
        <v>-357</v>
      </c>
      <c r="U216" s="114">
        <f t="shared" si="42"/>
        <v>-27.32</v>
      </c>
      <c r="V216" s="114">
        <f t="shared" si="43"/>
        <v>-5185.93</v>
      </c>
      <c r="W216" s="114">
        <f t="shared" si="39"/>
        <v>116557.9247</v>
      </c>
    </row>
    <row r="217" spans="13:23" x14ac:dyDescent="0.25">
      <c r="M217" s="113"/>
      <c r="N217" s="109">
        <f t="shared" si="44"/>
        <v>204</v>
      </c>
      <c r="O217" s="110">
        <f t="shared" ca="1" si="45"/>
        <v>50535</v>
      </c>
      <c r="P217" s="114">
        <f t="shared" si="36"/>
        <v>-3150.23</v>
      </c>
      <c r="Q217" s="114">
        <f t="shared" si="37"/>
        <v>-1582.27</v>
      </c>
      <c r="R217" s="114">
        <f t="shared" si="38"/>
        <v>-4732.5</v>
      </c>
      <c r="S217" s="114">
        <f t="shared" si="40"/>
        <v>-25.64</v>
      </c>
      <c r="T217" s="114">
        <f t="shared" si="41"/>
        <v>-357</v>
      </c>
      <c r="U217" s="114">
        <f t="shared" si="42"/>
        <v>-27.32</v>
      </c>
      <c r="V217" s="114">
        <f t="shared" si="43"/>
        <v>-5142.46</v>
      </c>
      <c r="W217" s="114">
        <f t="shared" si="39"/>
        <v>113407.6985</v>
      </c>
    </row>
    <row r="218" spans="13:23" x14ac:dyDescent="0.25">
      <c r="M218" s="113"/>
      <c r="N218" s="109">
        <f t="shared" si="44"/>
        <v>205</v>
      </c>
      <c r="O218" s="110">
        <f t="shared" ca="1" si="45"/>
        <v>50566</v>
      </c>
      <c r="P218" s="114">
        <f t="shared" si="36"/>
        <v>-3150.23</v>
      </c>
      <c r="Q218" s="114">
        <f t="shared" si="37"/>
        <v>-1539.51</v>
      </c>
      <c r="R218" s="114">
        <f t="shared" si="38"/>
        <v>-4689.74</v>
      </c>
      <c r="S218" s="114">
        <f t="shared" si="40"/>
        <v>-24.95</v>
      </c>
      <c r="T218" s="114">
        <f t="shared" si="41"/>
        <v>-357</v>
      </c>
      <c r="U218" s="114">
        <f t="shared" si="42"/>
        <v>-27.32</v>
      </c>
      <c r="V218" s="114">
        <f t="shared" si="43"/>
        <v>-5099.0099999999993</v>
      </c>
      <c r="W218" s="114">
        <f t="shared" si="39"/>
        <v>110257.46800000001</v>
      </c>
    </row>
    <row r="219" spans="13:23" x14ac:dyDescent="0.25">
      <c r="M219" s="113"/>
      <c r="N219" s="109">
        <f t="shared" si="44"/>
        <v>206</v>
      </c>
      <c r="O219" s="110">
        <f t="shared" ca="1" si="45"/>
        <v>50596</v>
      </c>
      <c r="P219" s="114">
        <f t="shared" si="36"/>
        <v>-3150.23</v>
      </c>
      <c r="Q219" s="114">
        <f t="shared" si="37"/>
        <v>-1496.75</v>
      </c>
      <c r="R219" s="114">
        <f t="shared" si="38"/>
        <v>-4646.9799999999996</v>
      </c>
      <c r="S219" s="114">
        <f t="shared" si="40"/>
        <v>-24.26</v>
      </c>
      <c r="T219" s="114">
        <f t="shared" si="41"/>
        <v>-357</v>
      </c>
      <c r="U219" s="114">
        <f t="shared" si="42"/>
        <v>-27.32</v>
      </c>
      <c r="V219" s="114">
        <f t="shared" si="43"/>
        <v>-5055.5599999999995</v>
      </c>
      <c r="W219" s="114">
        <f t="shared" si="39"/>
        <v>107107.2331</v>
      </c>
    </row>
    <row r="220" spans="13:23" x14ac:dyDescent="0.25">
      <c r="M220" s="113"/>
      <c r="N220" s="109">
        <f t="shared" si="44"/>
        <v>207</v>
      </c>
      <c r="O220" s="110">
        <f t="shared" ca="1" si="45"/>
        <v>50627</v>
      </c>
      <c r="P220" s="114">
        <f t="shared" si="36"/>
        <v>-3150.23</v>
      </c>
      <c r="Q220" s="114">
        <f t="shared" si="37"/>
        <v>-1453.98</v>
      </c>
      <c r="R220" s="114">
        <f t="shared" si="38"/>
        <v>-4604.21</v>
      </c>
      <c r="S220" s="114">
        <f t="shared" si="40"/>
        <v>-23.56</v>
      </c>
      <c r="T220" s="114">
        <f t="shared" si="41"/>
        <v>-357</v>
      </c>
      <c r="U220" s="114">
        <f t="shared" si="42"/>
        <v>-27.32</v>
      </c>
      <c r="V220" s="114">
        <f t="shared" si="43"/>
        <v>-5012.09</v>
      </c>
      <c r="W220" s="114">
        <f t="shared" si="39"/>
        <v>103957.00380000001</v>
      </c>
    </row>
    <row r="221" spans="13:23" x14ac:dyDescent="0.25">
      <c r="M221" s="113"/>
      <c r="N221" s="109">
        <f t="shared" si="44"/>
        <v>208</v>
      </c>
      <c r="O221" s="110">
        <f t="shared" ca="1" si="45"/>
        <v>50658</v>
      </c>
      <c r="P221" s="114">
        <f t="shared" si="36"/>
        <v>-3150.23</v>
      </c>
      <c r="Q221" s="114">
        <f t="shared" si="37"/>
        <v>-1411.22</v>
      </c>
      <c r="R221" s="114">
        <f t="shared" si="38"/>
        <v>-4561.45</v>
      </c>
      <c r="S221" s="114">
        <f t="shared" si="40"/>
        <v>-22.87</v>
      </c>
      <c r="T221" s="114">
        <f t="shared" si="41"/>
        <v>-357</v>
      </c>
      <c r="U221" s="114">
        <f t="shared" si="42"/>
        <v>-27.32</v>
      </c>
      <c r="V221" s="114">
        <f t="shared" si="43"/>
        <v>-4968.6399999999994</v>
      </c>
      <c r="W221" s="114">
        <f t="shared" si="39"/>
        <v>100806.77010000001</v>
      </c>
    </row>
    <row r="222" spans="13:23" x14ac:dyDescent="0.25">
      <c r="M222" s="113"/>
      <c r="N222" s="109">
        <f t="shared" si="44"/>
        <v>209</v>
      </c>
      <c r="O222" s="110">
        <f t="shared" ca="1" si="45"/>
        <v>50688</v>
      </c>
      <c r="P222" s="114">
        <f t="shared" si="36"/>
        <v>-3150.23</v>
      </c>
      <c r="Q222" s="114">
        <f t="shared" si="37"/>
        <v>-1368.45</v>
      </c>
      <c r="R222" s="114">
        <f t="shared" si="38"/>
        <v>-4518.68</v>
      </c>
      <c r="S222" s="114">
        <f t="shared" si="40"/>
        <v>-22.18</v>
      </c>
      <c r="T222" s="114">
        <f t="shared" si="41"/>
        <v>-357</v>
      </c>
      <c r="U222" s="114">
        <f t="shared" si="42"/>
        <v>-27.32</v>
      </c>
      <c r="V222" s="114">
        <f t="shared" si="43"/>
        <v>-4925.18</v>
      </c>
      <c r="W222" s="114">
        <f t="shared" si="39"/>
        <v>97656.542000000001</v>
      </c>
    </row>
    <row r="223" spans="13:23" x14ac:dyDescent="0.25">
      <c r="M223" s="113"/>
      <c r="N223" s="109">
        <f t="shared" si="44"/>
        <v>210</v>
      </c>
      <c r="O223" s="110">
        <f t="shared" ca="1" si="45"/>
        <v>50719</v>
      </c>
      <c r="P223" s="114">
        <f t="shared" si="36"/>
        <v>-3150.23</v>
      </c>
      <c r="Q223" s="114">
        <f t="shared" si="37"/>
        <v>-1325.69</v>
      </c>
      <c r="R223" s="114">
        <f t="shared" si="38"/>
        <v>-4475.92</v>
      </c>
      <c r="S223" s="114">
        <f t="shared" si="40"/>
        <v>-21.48</v>
      </c>
      <c r="T223" s="114">
        <f t="shared" si="41"/>
        <v>-357</v>
      </c>
      <c r="U223" s="114">
        <f t="shared" si="42"/>
        <v>-27.32</v>
      </c>
      <c r="V223" s="114">
        <f t="shared" si="43"/>
        <v>-4881.7199999999993</v>
      </c>
      <c r="W223" s="114">
        <f t="shared" si="39"/>
        <v>94506.309600000008</v>
      </c>
    </row>
    <row r="224" spans="13:23" x14ac:dyDescent="0.25">
      <c r="M224" s="113"/>
      <c r="N224" s="109">
        <f t="shared" si="44"/>
        <v>211</v>
      </c>
      <c r="O224" s="110">
        <f t="shared" ca="1" si="45"/>
        <v>50749</v>
      </c>
      <c r="P224" s="114">
        <f t="shared" si="36"/>
        <v>-3150.23</v>
      </c>
      <c r="Q224" s="114">
        <f t="shared" si="37"/>
        <v>-1282.92</v>
      </c>
      <c r="R224" s="114">
        <f t="shared" si="38"/>
        <v>-4433.1499999999996</v>
      </c>
      <c r="S224" s="114">
        <f t="shared" si="40"/>
        <v>-20.79</v>
      </c>
      <c r="T224" s="114">
        <f t="shared" si="41"/>
        <v>-357</v>
      </c>
      <c r="U224" s="114">
        <f t="shared" si="42"/>
        <v>-27.32</v>
      </c>
      <c r="V224" s="114">
        <f t="shared" si="43"/>
        <v>-4838.2599999999993</v>
      </c>
      <c r="W224" s="114">
        <f t="shared" si="39"/>
        <v>91356.082800000004</v>
      </c>
    </row>
    <row r="225" spans="13:23" x14ac:dyDescent="0.25">
      <c r="M225" s="113"/>
      <c r="N225" s="109">
        <f t="shared" si="44"/>
        <v>212</v>
      </c>
      <c r="O225" s="110">
        <f t="shared" ca="1" si="45"/>
        <v>50780</v>
      </c>
      <c r="P225" s="114">
        <f t="shared" si="36"/>
        <v>-3150.23</v>
      </c>
      <c r="Q225" s="114">
        <f t="shared" si="37"/>
        <v>-1240.1600000000001</v>
      </c>
      <c r="R225" s="114">
        <f t="shared" si="38"/>
        <v>-4390.3900000000003</v>
      </c>
      <c r="S225" s="114">
        <f t="shared" si="40"/>
        <v>-20.100000000000001</v>
      </c>
      <c r="T225" s="114">
        <f t="shared" si="41"/>
        <v>-357</v>
      </c>
      <c r="U225" s="114">
        <f t="shared" si="42"/>
        <v>-27.32</v>
      </c>
      <c r="V225" s="114">
        <f t="shared" si="43"/>
        <v>-4794.8100000000004</v>
      </c>
      <c r="W225" s="114">
        <f t="shared" si="39"/>
        <v>88205.851599999995</v>
      </c>
    </row>
    <row r="226" spans="13:23" x14ac:dyDescent="0.25">
      <c r="M226" s="113"/>
      <c r="N226" s="109">
        <f t="shared" si="44"/>
        <v>213</v>
      </c>
      <c r="O226" s="110">
        <f t="shared" ca="1" si="45"/>
        <v>50811</v>
      </c>
      <c r="P226" s="114">
        <f t="shared" si="36"/>
        <v>-3150.23</v>
      </c>
      <c r="Q226" s="114">
        <f t="shared" si="37"/>
        <v>-1197.3900000000001</v>
      </c>
      <c r="R226" s="114">
        <f t="shared" si="38"/>
        <v>-4347.62</v>
      </c>
      <c r="S226" s="114">
        <f t="shared" si="40"/>
        <v>-19.41</v>
      </c>
      <c r="T226" s="114">
        <f t="shared" si="41"/>
        <v>-357</v>
      </c>
      <c r="U226" s="114">
        <f t="shared" si="42"/>
        <v>-27.32</v>
      </c>
      <c r="V226" s="114">
        <f t="shared" si="43"/>
        <v>-4751.3499999999995</v>
      </c>
      <c r="W226" s="114">
        <f t="shared" si="39"/>
        <v>85055.626000000004</v>
      </c>
    </row>
    <row r="227" spans="13:23" x14ac:dyDescent="0.25">
      <c r="M227" s="113"/>
      <c r="N227" s="109">
        <f t="shared" si="44"/>
        <v>214</v>
      </c>
      <c r="O227" s="110">
        <f t="shared" ca="1" si="45"/>
        <v>50839</v>
      </c>
      <c r="P227" s="114">
        <f t="shared" si="36"/>
        <v>-3150.23</v>
      </c>
      <c r="Q227" s="114">
        <f t="shared" si="37"/>
        <v>-1154.6300000000001</v>
      </c>
      <c r="R227" s="114">
        <f t="shared" si="38"/>
        <v>-4304.8599999999997</v>
      </c>
      <c r="S227" s="114">
        <f t="shared" si="40"/>
        <v>-18.71</v>
      </c>
      <c r="T227" s="114">
        <f t="shared" si="41"/>
        <v>-357</v>
      </c>
      <c r="U227" s="114">
        <f t="shared" si="42"/>
        <v>-27.32</v>
      </c>
      <c r="V227" s="114">
        <f t="shared" si="43"/>
        <v>-4707.8899999999994</v>
      </c>
      <c r="W227" s="114">
        <f t="shared" si="39"/>
        <v>81905.396099999998</v>
      </c>
    </row>
    <row r="228" spans="13:23" x14ac:dyDescent="0.25">
      <c r="M228" s="113"/>
      <c r="N228" s="109">
        <f t="shared" si="44"/>
        <v>215</v>
      </c>
      <c r="O228" s="110">
        <f t="shared" ca="1" si="45"/>
        <v>50870</v>
      </c>
      <c r="P228" s="114">
        <f t="shared" si="36"/>
        <v>-3150.23</v>
      </c>
      <c r="Q228" s="114">
        <f t="shared" si="37"/>
        <v>-1111.8699999999999</v>
      </c>
      <c r="R228" s="114">
        <f t="shared" si="38"/>
        <v>-4262.1000000000004</v>
      </c>
      <c r="S228" s="114">
        <f t="shared" si="40"/>
        <v>-18.02</v>
      </c>
      <c r="T228" s="114">
        <f t="shared" si="41"/>
        <v>-357</v>
      </c>
      <c r="U228" s="114">
        <f t="shared" si="42"/>
        <v>-27.32</v>
      </c>
      <c r="V228" s="114">
        <f t="shared" si="43"/>
        <v>-4664.4400000000005</v>
      </c>
      <c r="W228" s="114">
        <f t="shared" si="39"/>
        <v>78755.161900000006</v>
      </c>
    </row>
    <row r="229" spans="13:23" x14ac:dyDescent="0.25">
      <c r="M229" s="113"/>
      <c r="N229" s="109">
        <f t="shared" si="44"/>
        <v>216</v>
      </c>
      <c r="O229" s="110">
        <f t="shared" ca="1" si="45"/>
        <v>50900</v>
      </c>
      <c r="P229" s="114">
        <f t="shared" si="36"/>
        <v>-3150.23</v>
      </c>
      <c r="Q229" s="114">
        <f t="shared" si="37"/>
        <v>-1069.0999999999999</v>
      </c>
      <c r="R229" s="114">
        <f t="shared" si="38"/>
        <v>-4219.33</v>
      </c>
      <c r="S229" s="114">
        <f t="shared" si="40"/>
        <v>-17.329999999999998</v>
      </c>
      <c r="T229" s="114">
        <f t="shared" si="41"/>
        <v>-357</v>
      </c>
      <c r="U229" s="114">
        <f t="shared" si="42"/>
        <v>-27.32</v>
      </c>
      <c r="V229" s="114">
        <f t="shared" si="43"/>
        <v>-4620.9799999999996</v>
      </c>
      <c r="W229" s="114">
        <f t="shared" si="39"/>
        <v>75604.933199999999</v>
      </c>
    </row>
    <row r="230" spans="13:23" x14ac:dyDescent="0.25">
      <c r="M230" s="113"/>
      <c r="N230" s="109">
        <f t="shared" si="44"/>
        <v>217</v>
      </c>
      <c r="O230" s="110">
        <f t="shared" ca="1" si="45"/>
        <v>50931</v>
      </c>
      <c r="P230" s="114">
        <f t="shared" si="36"/>
        <v>-3150.23</v>
      </c>
      <c r="Q230" s="114">
        <f t="shared" si="37"/>
        <v>-1026.3399999999999</v>
      </c>
      <c r="R230" s="114">
        <f t="shared" si="38"/>
        <v>-4176.57</v>
      </c>
      <c r="S230" s="114">
        <f t="shared" si="40"/>
        <v>-16.63</v>
      </c>
      <c r="T230" s="114">
        <f t="shared" si="41"/>
        <v>-357</v>
      </c>
      <c r="U230" s="114">
        <f t="shared" si="42"/>
        <v>-27.32</v>
      </c>
      <c r="V230" s="114">
        <f t="shared" si="43"/>
        <v>-4577.5199999999995</v>
      </c>
      <c r="W230" s="114">
        <f t="shared" si="39"/>
        <v>72454.700200000007</v>
      </c>
    </row>
    <row r="231" spans="13:23" x14ac:dyDescent="0.25">
      <c r="M231" s="113"/>
      <c r="N231" s="109">
        <f t="shared" si="44"/>
        <v>218</v>
      </c>
      <c r="O231" s="110">
        <f t="shared" ca="1" si="45"/>
        <v>50961</v>
      </c>
      <c r="P231" s="114">
        <f t="shared" si="36"/>
        <v>-3150.23</v>
      </c>
      <c r="Q231" s="114">
        <f t="shared" si="37"/>
        <v>-983.57</v>
      </c>
      <c r="R231" s="114">
        <f t="shared" si="38"/>
        <v>-4133.8</v>
      </c>
      <c r="S231" s="114">
        <f t="shared" si="40"/>
        <v>-15.94</v>
      </c>
      <c r="T231" s="114">
        <f t="shared" si="41"/>
        <v>-357</v>
      </c>
      <c r="U231" s="114">
        <f t="shared" si="42"/>
        <v>-27.32</v>
      </c>
      <c r="V231" s="114">
        <f t="shared" si="43"/>
        <v>-4534.0599999999995</v>
      </c>
      <c r="W231" s="114">
        <f t="shared" si="39"/>
        <v>69304.472800000003</v>
      </c>
    </row>
    <row r="232" spans="13:23" x14ac:dyDescent="0.25">
      <c r="M232" s="113"/>
      <c r="N232" s="109">
        <f t="shared" si="44"/>
        <v>219</v>
      </c>
      <c r="O232" s="110">
        <f t="shared" ca="1" si="45"/>
        <v>50992</v>
      </c>
      <c r="P232" s="114">
        <f t="shared" si="36"/>
        <v>-3150.23</v>
      </c>
      <c r="Q232" s="114">
        <f t="shared" si="37"/>
        <v>-940.81</v>
      </c>
      <c r="R232" s="114">
        <f t="shared" si="38"/>
        <v>-4091.04</v>
      </c>
      <c r="S232" s="114">
        <f t="shared" si="40"/>
        <v>-15.25</v>
      </c>
      <c r="T232" s="114">
        <f t="shared" si="41"/>
        <v>-357</v>
      </c>
      <c r="U232" s="114">
        <f t="shared" si="42"/>
        <v>-27.32</v>
      </c>
      <c r="V232" s="114">
        <f t="shared" si="43"/>
        <v>-4490.6099999999997</v>
      </c>
      <c r="W232" s="114">
        <f t="shared" si="39"/>
        <v>66154.241000000009</v>
      </c>
    </row>
    <row r="233" spans="13:23" x14ac:dyDescent="0.25">
      <c r="M233" s="113"/>
      <c r="N233" s="109">
        <f t="shared" si="44"/>
        <v>220</v>
      </c>
      <c r="O233" s="110">
        <f t="shared" ca="1" si="45"/>
        <v>51023</v>
      </c>
      <c r="P233" s="114">
        <f t="shared" si="36"/>
        <v>-3150.23</v>
      </c>
      <c r="Q233" s="114">
        <f t="shared" si="37"/>
        <v>-898.04</v>
      </c>
      <c r="R233" s="114">
        <f t="shared" si="38"/>
        <v>-4048.27</v>
      </c>
      <c r="S233" s="114">
        <f t="shared" si="40"/>
        <v>-14.55</v>
      </c>
      <c r="T233" s="114">
        <f t="shared" si="41"/>
        <v>-357</v>
      </c>
      <c r="U233" s="114">
        <f t="shared" si="42"/>
        <v>-27.32</v>
      </c>
      <c r="V233" s="114">
        <f t="shared" si="43"/>
        <v>-4447.1399999999994</v>
      </c>
      <c r="W233" s="114">
        <f t="shared" si="39"/>
        <v>63004.01479999999</v>
      </c>
    </row>
    <row r="234" spans="13:23" x14ac:dyDescent="0.25">
      <c r="M234" s="113"/>
      <c r="N234" s="109">
        <f t="shared" si="44"/>
        <v>221</v>
      </c>
      <c r="O234" s="110">
        <f t="shared" ca="1" si="45"/>
        <v>51053</v>
      </c>
      <c r="P234" s="114">
        <f t="shared" si="36"/>
        <v>-3150.23</v>
      </c>
      <c r="Q234" s="114">
        <f t="shared" si="37"/>
        <v>-855.28</v>
      </c>
      <c r="R234" s="114">
        <f t="shared" si="38"/>
        <v>-4005.51</v>
      </c>
      <c r="S234" s="114">
        <f t="shared" si="40"/>
        <v>-13.86</v>
      </c>
      <c r="T234" s="114">
        <f t="shared" si="41"/>
        <v>-357</v>
      </c>
      <c r="U234" s="114">
        <f t="shared" si="42"/>
        <v>-27.32</v>
      </c>
      <c r="V234" s="114">
        <f t="shared" si="43"/>
        <v>-4403.6900000000005</v>
      </c>
      <c r="W234" s="114">
        <f t="shared" si="39"/>
        <v>59853.784299999999</v>
      </c>
    </row>
    <row r="235" spans="13:23" x14ac:dyDescent="0.25">
      <c r="M235" s="113"/>
      <c r="N235" s="109">
        <f t="shared" si="44"/>
        <v>222</v>
      </c>
      <c r="O235" s="110">
        <f t="shared" ca="1" si="45"/>
        <v>51084</v>
      </c>
      <c r="P235" s="114">
        <f t="shared" si="36"/>
        <v>-3150.23</v>
      </c>
      <c r="Q235" s="114">
        <f t="shared" si="37"/>
        <v>-812.52</v>
      </c>
      <c r="R235" s="114">
        <f t="shared" si="38"/>
        <v>-3962.75</v>
      </c>
      <c r="S235" s="114">
        <f t="shared" si="40"/>
        <v>-13.17</v>
      </c>
      <c r="T235" s="114">
        <f t="shared" si="41"/>
        <v>-357</v>
      </c>
      <c r="U235" s="114">
        <f t="shared" si="42"/>
        <v>-27.32</v>
      </c>
      <c r="V235" s="114">
        <f t="shared" si="43"/>
        <v>-4360.24</v>
      </c>
      <c r="W235" s="114">
        <f t="shared" si="39"/>
        <v>56703.549400000004</v>
      </c>
    </row>
    <row r="236" spans="13:23" x14ac:dyDescent="0.25">
      <c r="M236" s="113"/>
      <c r="N236" s="109">
        <f t="shared" si="44"/>
        <v>223</v>
      </c>
      <c r="O236" s="110">
        <f t="shared" ca="1" si="45"/>
        <v>51114</v>
      </c>
      <c r="P236" s="114">
        <f t="shared" si="36"/>
        <v>-3150.23</v>
      </c>
      <c r="Q236" s="114">
        <f t="shared" si="37"/>
        <v>-769.75</v>
      </c>
      <c r="R236" s="114">
        <f t="shared" si="38"/>
        <v>-3919.98</v>
      </c>
      <c r="S236" s="114">
        <f t="shared" si="40"/>
        <v>-12.47</v>
      </c>
      <c r="T236" s="114">
        <f t="shared" si="41"/>
        <v>-357</v>
      </c>
      <c r="U236" s="114">
        <f t="shared" si="42"/>
        <v>-27.32</v>
      </c>
      <c r="V236" s="114">
        <f t="shared" si="43"/>
        <v>-4316.7699999999995</v>
      </c>
      <c r="W236" s="114">
        <f t="shared" si="39"/>
        <v>53553.320099999997</v>
      </c>
    </row>
    <row r="237" spans="13:23" x14ac:dyDescent="0.25">
      <c r="M237" s="113"/>
      <c r="N237" s="109">
        <f t="shared" si="44"/>
        <v>224</v>
      </c>
      <c r="O237" s="110">
        <f t="shared" ca="1" si="45"/>
        <v>51145</v>
      </c>
      <c r="P237" s="114">
        <f t="shared" si="36"/>
        <v>-3150.23</v>
      </c>
      <c r="Q237" s="114">
        <f t="shared" si="37"/>
        <v>-726.99</v>
      </c>
      <c r="R237" s="114">
        <f t="shared" si="38"/>
        <v>-3877.22</v>
      </c>
      <c r="S237" s="114">
        <f t="shared" si="40"/>
        <v>-11.78</v>
      </c>
      <c r="T237" s="114">
        <f t="shared" si="41"/>
        <v>-357</v>
      </c>
      <c r="U237" s="114">
        <f t="shared" si="42"/>
        <v>-27.32</v>
      </c>
      <c r="V237" s="114">
        <f t="shared" si="43"/>
        <v>-4273.32</v>
      </c>
      <c r="W237" s="114">
        <f t="shared" si="39"/>
        <v>50403.0864</v>
      </c>
    </row>
    <row r="238" spans="13:23" x14ac:dyDescent="0.25">
      <c r="M238" s="113"/>
      <c r="N238" s="109">
        <f t="shared" si="44"/>
        <v>225</v>
      </c>
      <c r="O238" s="110">
        <f t="shared" ca="1" si="45"/>
        <v>51176</v>
      </c>
      <c r="P238" s="114">
        <f t="shared" si="36"/>
        <v>-3150.23</v>
      </c>
      <c r="Q238" s="114">
        <f t="shared" si="37"/>
        <v>-684.22</v>
      </c>
      <c r="R238" s="114">
        <f t="shared" si="38"/>
        <v>-3834.45</v>
      </c>
      <c r="S238" s="114">
        <f t="shared" si="40"/>
        <v>-11.09</v>
      </c>
      <c r="T238" s="114">
        <f t="shared" si="41"/>
        <v>-357</v>
      </c>
      <c r="U238" s="114">
        <f t="shared" si="42"/>
        <v>-27.32</v>
      </c>
      <c r="V238" s="114">
        <f t="shared" si="43"/>
        <v>-4229.8599999999997</v>
      </c>
      <c r="W238" s="114">
        <f t="shared" si="39"/>
        <v>47252.858299999993</v>
      </c>
    </row>
    <row r="239" spans="13:23" x14ac:dyDescent="0.25">
      <c r="M239" s="113"/>
      <c r="N239" s="109">
        <f t="shared" si="44"/>
        <v>226</v>
      </c>
      <c r="O239" s="110">
        <f t="shared" ca="1" si="45"/>
        <v>51205</v>
      </c>
      <c r="P239" s="114">
        <f t="shared" si="36"/>
        <v>-3150.23</v>
      </c>
      <c r="Q239" s="114">
        <f t="shared" si="37"/>
        <v>-641.46</v>
      </c>
      <c r="R239" s="114">
        <f t="shared" si="38"/>
        <v>-3791.69</v>
      </c>
      <c r="S239" s="114">
        <f t="shared" si="40"/>
        <v>-10.4</v>
      </c>
      <c r="T239" s="114">
        <f t="shared" si="41"/>
        <v>-357</v>
      </c>
      <c r="U239" s="114">
        <f t="shared" si="42"/>
        <v>-27.32</v>
      </c>
      <c r="V239" s="114">
        <f t="shared" si="43"/>
        <v>-4186.41</v>
      </c>
      <c r="W239" s="114">
        <f t="shared" si="39"/>
        <v>44102.625899999999</v>
      </c>
    </row>
    <row r="240" spans="13:23" x14ac:dyDescent="0.25">
      <c r="M240" s="113"/>
      <c r="N240" s="109">
        <f t="shared" si="44"/>
        <v>227</v>
      </c>
      <c r="O240" s="110">
        <f t="shared" ca="1" si="45"/>
        <v>51236</v>
      </c>
      <c r="P240" s="114">
        <f t="shared" si="36"/>
        <v>-3150.23</v>
      </c>
      <c r="Q240" s="114">
        <f t="shared" si="37"/>
        <v>-598.69000000000005</v>
      </c>
      <c r="R240" s="114">
        <f t="shared" si="38"/>
        <v>-3748.92</v>
      </c>
      <c r="S240" s="114">
        <f t="shared" si="40"/>
        <v>-9.6999999999999993</v>
      </c>
      <c r="T240" s="114">
        <f t="shared" si="41"/>
        <v>-357</v>
      </c>
      <c r="U240" s="114">
        <f t="shared" si="42"/>
        <v>-27.32</v>
      </c>
      <c r="V240" s="114">
        <f t="shared" si="43"/>
        <v>-4142.9399999999996</v>
      </c>
      <c r="W240" s="114">
        <f t="shared" si="39"/>
        <v>40952.398999999998</v>
      </c>
    </row>
    <row r="241" spans="13:23" x14ac:dyDescent="0.25">
      <c r="M241" s="113"/>
      <c r="N241" s="109">
        <f t="shared" si="44"/>
        <v>228</v>
      </c>
      <c r="O241" s="110">
        <f t="shared" ca="1" si="45"/>
        <v>51266</v>
      </c>
      <c r="P241" s="114">
        <f t="shared" si="36"/>
        <v>-3150.23</v>
      </c>
      <c r="Q241" s="114">
        <f t="shared" si="37"/>
        <v>-555.92999999999995</v>
      </c>
      <c r="R241" s="114">
        <f t="shared" si="38"/>
        <v>-3706.16</v>
      </c>
      <c r="S241" s="114">
        <f t="shared" si="40"/>
        <v>-9.01</v>
      </c>
      <c r="T241" s="114">
        <f t="shared" si="41"/>
        <v>-357</v>
      </c>
      <c r="U241" s="114">
        <f t="shared" si="42"/>
        <v>-27.32</v>
      </c>
      <c r="V241" s="114">
        <f t="shared" si="43"/>
        <v>-4099.49</v>
      </c>
      <c r="W241" s="114">
        <f t="shared" si="39"/>
        <v>37802.167799999996</v>
      </c>
    </row>
    <row r="242" spans="13:23" x14ac:dyDescent="0.25">
      <c r="M242" s="113"/>
      <c r="N242" s="109">
        <f t="shared" si="44"/>
        <v>229</v>
      </c>
      <c r="O242" s="110">
        <f t="shared" ca="1" si="45"/>
        <v>51297</v>
      </c>
      <c r="P242" s="114">
        <f t="shared" si="36"/>
        <v>-3150.23</v>
      </c>
      <c r="Q242" s="114">
        <f t="shared" si="37"/>
        <v>-513.16</v>
      </c>
      <c r="R242" s="114">
        <f t="shared" si="38"/>
        <v>-3663.39</v>
      </c>
      <c r="S242" s="114">
        <f t="shared" si="40"/>
        <v>-8.32</v>
      </c>
      <c r="T242" s="114">
        <f t="shared" si="41"/>
        <v>-357</v>
      </c>
      <c r="U242" s="114">
        <f t="shared" si="42"/>
        <v>-27.32</v>
      </c>
      <c r="V242" s="114">
        <f t="shared" si="43"/>
        <v>-4056.03</v>
      </c>
      <c r="W242" s="114">
        <f t="shared" si="39"/>
        <v>34651.94219999999</v>
      </c>
    </row>
    <row r="243" spans="13:23" x14ac:dyDescent="0.25">
      <c r="M243" s="113"/>
      <c r="N243" s="109">
        <f t="shared" si="44"/>
        <v>230</v>
      </c>
      <c r="O243" s="110">
        <f t="shared" ca="1" si="45"/>
        <v>51327</v>
      </c>
      <c r="P243" s="114">
        <f t="shared" si="36"/>
        <v>-3150.23</v>
      </c>
      <c r="Q243" s="114">
        <f t="shared" si="37"/>
        <v>-470.4</v>
      </c>
      <c r="R243" s="114">
        <f t="shared" si="38"/>
        <v>-3620.63</v>
      </c>
      <c r="S243" s="114">
        <f t="shared" si="40"/>
        <v>-7.62</v>
      </c>
      <c r="T243" s="114">
        <f t="shared" si="41"/>
        <v>-357</v>
      </c>
      <c r="U243" s="114">
        <f t="shared" si="42"/>
        <v>-27.32</v>
      </c>
      <c r="V243" s="114">
        <f t="shared" si="43"/>
        <v>-4012.57</v>
      </c>
      <c r="W243" s="114">
        <f t="shared" si="39"/>
        <v>31501.712299999996</v>
      </c>
    </row>
    <row r="244" spans="13:23" x14ac:dyDescent="0.25">
      <c r="M244" s="113"/>
      <c r="N244" s="109">
        <f t="shared" si="44"/>
        <v>231</v>
      </c>
      <c r="O244" s="110">
        <f t="shared" ca="1" si="45"/>
        <v>51358</v>
      </c>
      <c r="P244" s="114">
        <f t="shared" si="36"/>
        <v>-3150.23</v>
      </c>
      <c r="Q244" s="114">
        <f t="shared" si="37"/>
        <v>-427.64</v>
      </c>
      <c r="R244" s="114">
        <f t="shared" si="38"/>
        <v>-3577.87</v>
      </c>
      <c r="S244" s="114">
        <f t="shared" si="40"/>
        <v>-6.93</v>
      </c>
      <c r="T244" s="114">
        <f t="shared" si="41"/>
        <v>-357</v>
      </c>
      <c r="U244" s="114">
        <f t="shared" si="42"/>
        <v>-27.32</v>
      </c>
      <c r="V244" s="114">
        <f t="shared" si="43"/>
        <v>-3969.12</v>
      </c>
      <c r="W244" s="114">
        <f t="shared" si="39"/>
        <v>28351.478000000003</v>
      </c>
    </row>
    <row r="245" spans="13:23" x14ac:dyDescent="0.25">
      <c r="M245" s="113"/>
      <c r="N245" s="109">
        <f t="shared" si="44"/>
        <v>232</v>
      </c>
      <c r="O245" s="110">
        <f t="shared" ca="1" si="45"/>
        <v>51389</v>
      </c>
      <c r="P245" s="114">
        <f t="shared" si="36"/>
        <v>-3150.23</v>
      </c>
      <c r="Q245" s="114">
        <f t="shared" si="37"/>
        <v>-384.87</v>
      </c>
      <c r="R245" s="114">
        <f t="shared" si="38"/>
        <v>-3535.1</v>
      </c>
      <c r="S245" s="114">
        <f t="shared" si="40"/>
        <v>-6.24</v>
      </c>
      <c r="T245" s="114">
        <f t="shared" si="41"/>
        <v>-357</v>
      </c>
      <c r="U245" s="114">
        <f t="shared" si="42"/>
        <v>-27.32</v>
      </c>
      <c r="V245" s="114">
        <f t="shared" si="43"/>
        <v>-3925.66</v>
      </c>
      <c r="W245" s="114">
        <f t="shared" si="39"/>
        <v>25201.249300000003</v>
      </c>
    </row>
    <row r="246" spans="13:23" x14ac:dyDescent="0.25">
      <c r="M246" s="113"/>
      <c r="N246" s="109">
        <f t="shared" si="44"/>
        <v>233</v>
      </c>
      <c r="O246" s="110">
        <f t="shared" ca="1" si="45"/>
        <v>51419</v>
      </c>
      <c r="P246" s="114">
        <f t="shared" si="36"/>
        <v>-3150.23</v>
      </c>
      <c r="Q246" s="114">
        <f t="shared" si="37"/>
        <v>-342.11</v>
      </c>
      <c r="R246" s="114">
        <f t="shared" si="38"/>
        <v>-3492.34</v>
      </c>
      <c r="S246" s="114">
        <f t="shared" si="40"/>
        <v>-5.54</v>
      </c>
      <c r="T246" s="114">
        <f t="shared" si="41"/>
        <v>-357</v>
      </c>
      <c r="U246" s="114">
        <f t="shared" si="42"/>
        <v>-27.32</v>
      </c>
      <c r="V246" s="114">
        <f t="shared" si="43"/>
        <v>-3882.2000000000003</v>
      </c>
      <c r="W246" s="114">
        <f t="shared" si="39"/>
        <v>22051.016299999999</v>
      </c>
    </row>
    <row r="247" spans="13:23" x14ac:dyDescent="0.25">
      <c r="M247" s="113"/>
      <c r="N247" s="109">
        <f t="shared" si="44"/>
        <v>234</v>
      </c>
      <c r="O247" s="110">
        <f t="shared" ca="1" si="45"/>
        <v>51450</v>
      </c>
      <c r="P247" s="114">
        <f t="shared" si="36"/>
        <v>-3150.23</v>
      </c>
      <c r="Q247" s="114">
        <f t="shared" si="37"/>
        <v>-299.33999999999997</v>
      </c>
      <c r="R247" s="114">
        <f t="shared" si="38"/>
        <v>-3449.57</v>
      </c>
      <c r="S247" s="114">
        <f t="shared" si="40"/>
        <v>-4.8499999999999996</v>
      </c>
      <c r="T247" s="114">
        <f t="shared" si="41"/>
        <v>-357</v>
      </c>
      <c r="U247" s="114">
        <f t="shared" si="42"/>
        <v>-27.32</v>
      </c>
      <c r="V247" s="114">
        <f t="shared" si="43"/>
        <v>-3838.7400000000002</v>
      </c>
      <c r="W247" s="114">
        <f t="shared" si="39"/>
        <v>18900.788800000002</v>
      </c>
    </row>
    <row r="248" spans="13:23" x14ac:dyDescent="0.25">
      <c r="M248" s="113"/>
      <c r="N248" s="109">
        <f t="shared" si="44"/>
        <v>235</v>
      </c>
      <c r="O248" s="110">
        <f t="shared" ca="1" si="45"/>
        <v>51480</v>
      </c>
      <c r="P248" s="114">
        <f t="shared" si="36"/>
        <v>-3150.23</v>
      </c>
      <c r="Q248" s="114">
        <f t="shared" si="37"/>
        <v>-256.58</v>
      </c>
      <c r="R248" s="114">
        <f t="shared" si="38"/>
        <v>-3406.81</v>
      </c>
      <c r="S248" s="114">
        <f t="shared" si="40"/>
        <v>-4.16</v>
      </c>
      <c r="T248" s="114">
        <f t="shared" si="41"/>
        <v>-357</v>
      </c>
      <c r="U248" s="114">
        <f t="shared" si="42"/>
        <v>-27.32</v>
      </c>
      <c r="V248" s="114">
        <f t="shared" si="43"/>
        <v>-3795.29</v>
      </c>
      <c r="W248" s="114">
        <f t="shared" si="39"/>
        <v>15750.556999999999</v>
      </c>
    </row>
    <row r="249" spans="13:23" x14ac:dyDescent="0.25">
      <c r="M249" s="113"/>
      <c r="N249" s="109">
        <f t="shared" si="44"/>
        <v>236</v>
      </c>
      <c r="O249" s="110">
        <f t="shared" ca="1" si="45"/>
        <v>51511</v>
      </c>
      <c r="P249" s="114">
        <f t="shared" si="36"/>
        <v>-3150.23</v>
      </c>
      <c r="Q249" s="114">
        <f t="shared" si="37"/>
        <v>-213.81</v>
      </c>
      <c r="R249" s="114">
        <f t="shared" si="38"/>
        <v>-3364.04</v>
      </c>
      <c r="S249" s="114">
        <f t="shared" si="40"/>
        <v>-3.47</v>
      </c>
      <c r="T249" s="114">
        <f t="shared" si="41"/>
        <v>-357</v>
      </c>
      <c r="U249" s="114">
        <f t="shared" si="42"/>
        <v>-27.32</v>
      </c>
      <c r="V249" s="114">
        <f t="shared" si="43"/>
        <v>-3751.83</v>
      </c>
      <c r="W249" s="114">
        <f t="shared" si="39"/>
        <v>12600.330800000002</v>
      </c>
    </row>
    <row r="250" spans="13:23" x14ac:dyDescent="0.25">
      <c r="M250" s="113"/>
      <c r="N250" s="109">
        <f t="shared" si="44"/>
        <v>237</v>
      </c>
      <c r="O250" s="110">
        <f t="shared" ca="1" si="45"/>
        <v>51542</v>
      </c>
      <c r="P250" s="114">
        <f t="shared" si="36"/>
        <v>-3150.23</v>
      </c>
      <c r="Q250" s="114">
        <f t="shared" si="37"/>
        <v>-171.05</v>
      </c>
      <c r="R250" s="114">
        <f t="shared" si="38"/>
        <v>-3321.28</v>
      </c>
      <c r="S250" s="114">
        <f t="shared" si="40"/>
        <v>-2.77</v>
      </c>
      <c r="T250" s="114">
        <f t="shared" si="41"/>
        <v>-357</v>
      </c>
      <c r="U250" s="114">
        <f t="shared" si="42"/>
        <v>-27.32</v>
      </c>
      <c r="V250" s="114">
        <f t="shared" si="43"/>
        <v>-3708.3700000000003</v>
      </c>
      <c r="W250" s="114">
        <f t="shared" si="39"/>
        <v>9450.1003000000019</v>
      </c>
    </row>
    <row r="251" spans="13:23" x14ac:dyDescent="0.25">
      <c r="M251" s="113"/>
      <c r="N251" s="109">
        <f t="shared" si="44"/>
        <v>238</v>
      </c>
      <c r="O251" s="110">
        <f t="shared" ca="1" si="45"/>
        <v>51570</v>
      </c>
      <c r="P251" s="114">
        <f t="shared" si="36"/>
        <v>-3150.23</v>
      </c>
      <c r="Q251" s="114">
        <f t="shared" si="37"/>
        <v>-128.29</v>
      </c>
      <c r="R251" s="114">
        <f t="shared" si="38"/>
        <v>-3278.52</v>
      </c>
      <c r="S251" s="114">
        <f t="shared" si="40"/>
        <v>-2.08</v>
      </c>
      <c r="T251" s="114">
        <f t="shared" si="41"/>
        <v>-357</v>
      </c>
      <c r="U251" s="114">
        <f t="shared" si="42"/>
        <v>-27.32</v>
      </c>
      <c r="V251" s="114">
        <f t="shared" si="43"/>
        <v>-3664.92</v>
      </c>
      <c r="W251" s="114">
        <f t="shared" si="39"/>
        <v>6299.8653999999997</v>
      </c>
    </row>
    <row r="252" spans="13:23" x14ac:dyDescent="0.25">
      <c r="M252" s="113"/>
      <c r="N252" s="109">
        <f t="shared" si="44"/>
        <v>239</v>
      </c>
      <c r="O252" s="110">
        <f t="shared" ca="1" si="45"/>
        <v>51601</v>
      </c>
      <c r="P252" s="114">
        <f t="shared" si="36"/>
        <v>-3150.23</v>
      </c>
      <c r="Q252" s="114">
        <f t="shared" si="37"/>
        <v>-85.52</v>
      </c>
      <c r="R252" s="114">
        <f t="shared" si="38"/>
        <v>-3235.75</v>
      </c>
      <c r="S252" s="114">
        <f t="shared" si="40"/>
        <v>-1.39</v>
      </c>
      <c r="T252" s="114">
        <f t="shared" si="41"/>
        <v>-357</v>
      </c>
      <c r="U252" s="114">
        <f t="shared" si="42"/>
        <v>-27.32</v>
      </c>
      <c r="V252" s="114">
        <f t="shared" si="43"/>
        <v>-3621.46</v>
      </c>
      <c r="W252" s="114">
        <f t="shared" si="39"/>
        <v>3149.6360999999997</v>
      </c>
    </row>
    <row r="253" spans="13:23" x14ac:dyDescent="0.25">
      <c r="M253" s="113"/>
      <c r="N253" s="109">
        <f t="shared" si="44"/>
        <v>240</v>
      </c>
      <c r="O253" s="110">
        <f t="shared" ca="1" si="45"/>
        <v>51631</v>
      </c>
      <c r="P253" s="114">
        <f t="shared" si="36"/>
        <v>-3150.23</v>
      </c>
      <c r="Q253" s="114">
        <f t="shared" si="37"/>
        <v>-42.76</v>
      </c>
      <c r="R253" s="114">
        <f t="shared" si="38"/>
        <v>-3192.99</v>
      </c>
      <c r="S253" s="114">
        <f t="shared" si="40"/>
        <v>-0.69</v>
      </c>
      <c r="T253" s="114">
        <f t="shared" si="41"/>
        <v>-357</v>
      </c>
      <c r="U253" s="114">
        <f t="shared" si="42"/>
        <v>-27.32</v>
      </c>
      <c r="V253" s="114">
        <f t="shared" si="43"/>
        <v>-3578</v>
      </c>
      <c r="W253" s="114">
        <f t="shared" si="39"/>
        <v>0</v>
      </c>
    </row>
    <row r="254" spans="13:23" x14ac:dyDescent="0.25">
      <c r="M254" s="113"/>
      <c r="N254" s="109" t="str">
        <f t="shared" si="44"/>
        <v/>
      </c>
      <c r="O254" s="110" t="str">
        <f t="shared" si="45"/>
        <v/>
      </c>
      <c r="P254" s="114" t="str">
        <f t="shared" si="36"/>
        <v/>
      </c>
      <c r="Q254" s="114" t="str">
        <f t="shared" si="37"/>
        <v/>
      </c>
      <c r="R254" s="114" t="str">
        <f t="shared" si="38"/>
        <v/>
      </c>
      <c r="S254" s="114" t="str">
        <f t="shared" si="40"/>
        <v/>
      </c>
      <c r="T254" s="114" t="str">
        <f t="shared" si="41"/>
        <v/>
      </c>
      <c r="U254" s="114" t="str">
        <f t="shared" si="42"/>
        <v/>
      </c>
      <c r="V254" s="114" t="str">
        <f t="shared" si="43"/>
        <v/>
      </c>
      <c r="W254" s="114" t="str">
        <f t="shared" si="39"/>
        <v/>
      </c>
    </row>
    <row r="255" spans="13:23" x14ac:dyDescent="0.25">
      <c r="M255" s="113"/>
      <c r="N255" s="109" t="str">
        <f t="shared" si="44"/>
        <v/>
      </c>
      <c r="O255" s="110" t="str">
        <f t="shared" si="45"/>
        <v/>
      </c>
      <c r="P255" s="114" t="str">
        <f t="shared" si="36"/>
        <v/>
      </c>
      <c r="Q255" s="114" t="str">
        <f t="shared" si="37"/>
        <v/>
      </c>
      <c r="R255" s="114" t="str">
        <f t="shared" si="38"/>
        <v/>
      </c>
      <c r="S255" s="114" t="str">
        <f t="shared" si="40"/>
        <v/>
      </c>
      <c r="T255" s="114" t="str">
        <f t="shared" si="41"/>
        <v/>
      </c>
      <c r="U255" s="114" t="str">
        <f t="shared" si="42"/>
        <v/>
      </c>
      <c r="V255" s="114" t="str">
        <f t="shared" si="43"/>
        <v/>
      </c>
      <c r="W255" s="114" t="str">
        <f t="shared" si="39"/>
        <v/>
      </c>
    </row>
    <row r="256" spans="13:23" x14ac:dyDescent="0.25">
      <c r="M256" s="113"/>
      <c r="N256" s="109" t="str">
        <f t="shared" si="44"/>
        <v/>
      </c>
      <c r="O256" s="110" t="str">
        <f t="shared" si="45"/>
        <v/>
      </c>
      <c r="P256" s="114" t="str">
        <f t="shared" si="36"/>
        <v/>
      </c>
      <c r="Q256" s="114" t="str">
        <f t="shared" si="37"/>
        <v/>
      </c>
      <c r="R256" s="114" t="str">
        <f t="shared" si="38"/>
        <v/>
      </c>
      <c r="S256" s="114" t="str">
        <f t="shared" si="40"/>
        <v/>
      </c>
      <c r="T256" s="114" t="str">
        <f t="shared" si="41"/>
        <v/>
      </c>
      <c r="U256" s="114" t="str">
        <f t="shared" si="42"/>
        <v/>
      </c>
      <c r="V256" s="114" t="str">
        <f t="shared" si="43"/>
        <v/>
      </c>
      <c r="W256" s="114" t="str">
        <f t="shared" si="39"/>
        <v/>
      </c>
    </row>
    <row r="257" spans="13:23" x14ac:dyDescent="0.25">
      <c r="M257" s="113"/>
      <c r="N257" s="109" t="str">
        <f t="shared" si="44"/>
        <v/>
      </c>
      <c r="O257" s="110" t="str">
        <f t="shared" si="45"/>
        <v/>
      </c>
      <c r="P257" s="114" t="str">
        <f t="shared" si="36"/>
        <v/>
      </c>
      <c r="Q257" s="114" t="str">
        <f t="shared" si="37"/>
        <v/>
      </c>
      <c r="R257" s="114" t="str">
        <f t="shared" si="38"/>
        <v/>
      </c>
      <c r="S257" s="114" t="str">
        <f t="shared" si="40"/>
        <v/>
      </c>
      <c r="T257" s="114" t="str">
        <f t="shared" si="41"/>
        <v/>
      </c>
      <c r="U257" s="114" t="str">
        <f t="shared" si="42"/>
        <v/>
      </c>
      <c r="V257" s="114" t="str">
        <f t="shared" si="43"/>
        <v/>
      </c>
      <c r="W257" s="114" t="str">
        <f t="shared" si="39"/>
        <v/>
      </c>
    </row>
    <row r="258" spans="13:23" x14ac:dyDescent="0.25">
      <c r="M258" s="113"/>
      <c r="N258" s="109" t="str">
        <f t="shared" si="44"/>
        <v/>
      </c>
      <c r="O258" s="110" t="str">
        <f t="shared" si="45"/>
        <v/>
      </c>
      <c r="P258" s="114" t="str">
        <f t="shared" si="36"/>
        <v/>
      </c>
      <c r="Q258" s="114" t="str">
        <f t="shared" si="37"/>
        <v/>
      </c>
      <c r="R258" s="114" t="str">
        <f t="shared" si="38"/>
        <v/>
      </c>
      <c r="S258" s="114" t="str">
        <f t="shared" si="40"/>
        <v/>
      </c>
      <c r="T258" s="114" t="str">
        <f t="shared" si="41"/>
        <v/>
      </c>
      <c r="U258" s="114" t="str">
        <f t="shared" si="42"/>
        <v/>
      </c>
      <c r="V258" s="114" t="str">
        <f t="shared" si="43"/>
        <v/>
      </c>
      <c r="W258" s="114" t="str">
        <f t="shared" si="39"/>
        <v/>
      </c>
    </row>
    <row r="259" spans="13:23" x14ac:dyDescent="0.25">
      <c r="M259" s="113"/>
      <c r="N259" s="109" t="str">
        <f t="shared" si="44"/>
        <v/>
      </c>
      <c r="O259" s="110" t="str">
        <f t="shared" si="45"/>
        <v/>
      </c>
      <c r="P259" s="114" t="str">
        <f t="shared" si="36"/>
        <v/>
      </c>
      <c r="Q259" s="114" t="str">
        <f t="shared" si="37"/>
        <v/>
      </c>
      <c r="R259" s="114" t="str">
        <f t="shared" si="38"/>
        <v/>
      </c>
      <c r="S259" s="114" t="str">
        <f t="shared" si="40"/>
        <v/>
      </c>
      <c r="T259" s="114" t="str">
        <f t="shared" si="41"/>
        <v/>
      </c>
      <c r="U259" s="114" t="str">
        <f t="shared" si="42"/>
        <v/>
      </c>
      <c r="V259" s="114" t="str">
        <f t="shared" si="43"/>
        <v/>
      </c>
      <c r="W259" s="114" t="str">
        <f t="shared" si="39"/>
        <v/>
      </c>
    </row>
    <row r="260" spans="13:23" x14ac:dyDescent="0.25">
      <c r="M260" s="113"/>
      <c r="N260" s="109" t="str">
        <f t="shared" si="44"/>
        <v/>
      </c>
      <c r="O260" s="110" t="str">
        <f t="shared" si="45"/>
        <v/>
      </c>
      <c r="P260" s="114" t="str">
        <f t="shared" si="36"/>
        <v/>
      </c>
      <c r="Q260" s="114" t="str">
        <f t="shared" si="37"/>
        <v/>
      </c>
      <c r="R260" s="114" t="str">
        <f t="shared" si="38"/>
        <v/>
      </c>
      <c r="S260" s="114" t="str">
        <f t="shared" si="40"/>
        <v/>
      </c>
      <c r="T260" s="114" t="str">
        <f t="shared" si="41"/>
        <v/>
      </c>
      <c r="U260" s="114" t="str">
        <f t="shared" si="42"/>
        <v/>
      </c>
      <c r="V260" s="114" t="str">
        <f t="shared" si="43"/>
        <v/>
      </c>
      <c r="W260" s="114" t="str">
        <f t="shared" si="39"/>
        <v/>
      </c>
    </row>
    <row r="261" spans="13:23" x14ac:dyDescent="0.25">
      <c r="M261" s="113"/>
      <c r="N261" s="109" t="str">
        <f t="shared" si="44"/>
        <v/>
      </c>
      <c r="O261" s="110" t="str">
        <f t="shared" si="45"/>
        <v/>
      </c>
      <c r="P261" s="114" t="str">
        <f t="shared" si="36"/>
        <v/>
      </c>
      <c r="Q261" s="114" t="str">
        <f t="shared" si="37"/>
        <v/>
      </c>
      <c r="R261" s="114" t="str">
        <f t="shared" si="38"/>
        <v/>
      </c>
      <c r="S261" s="114" t="str">
        <f t="shared" si="40"/>
        <v/>
      </c>
      <c r="T261" s="114" t="str">
        <f t="shared" si="41"/>
        <v/>
      </c>
      <c r="U261" s="114" t="str">
        <f t="shared" si="42"/>
        <v/>
      </c>
      <c r="V261" s="114" t="str">
        <f t="shared" si="43"/>
        <v/>
      </c>
      <c r="W261" s="114" t="str">
        <f t="shared" si="39"/>
        <v/>
      </c>
    </row>
    <row r="262" spans="13:23" x14ac:dyDescent="0.25">
      <c r="M262" s="113"/>
      <c r="N262" s="109" t="str">
        <f t="shared" si="44"/>
        <v/>
      </c>
      <c r="O262" s="110" t="str">
        <f t="shared" si="45"/>
        <v/>
      </c>
      <c r="P262" s="114" t="str">
        <f t="shared" si="36"/>
        <v/>
      </c>
      <c r="Q262" s="114" t="str">
        <f t="shared" si="37"/>
        <v/>
      </c>
      <c r="R262" s="114" t="str">
        <f t="shared" si="38"/>
        <v/>
      </c>
      <c r="S262" s="114" t="str">
        <f t="shared" si="40"/>
        <v/>
      </c>
      <c r="T262" s="114" t="str">
        <f t="shared" si="41"/>
        <v/>
      </c>
      <c r="U262" s="114" t="str">
        <f t="shared" si="42"/>
        <v/>
      </c>
      <c r="V262" s="114" t="str">
        <f t="shared" si="43"/>
        <v/>
      </c>
      <c r="W262" s="114" t="str">
        <f t="shared" si="39"/>
        <v/>
      </c>
    </row>
    <row r="263" spans="13:23" x14ac:dyDescent="0.25">
      <c r="M263" s="113"/>
      <c r="N263" s="109" t="str">
        <f t="shared" si="44"/>
        <v/>
      </c>
      <c r="O263" s="110" t="str">
        <f t="shared" si="45"/>
        <v/>
      </c>
      <c r="P263" s="114" t="str">
        <f t="shared" si="36"/>
        <v/>
      </c>
      <c r="Q263" s="114" t="str">
        <f t="shared" si="37"/>
        <v/>
      </c>
      <c r="R263" s="114" t="str">
        <f t="shared" si="38"/>
        <v/>
      </c>
      <c r="S263" s="114" t="str">
        <f t="shared" si="40"/>
        <v/>
      </c>
      <c r="T263" s="114" t="str">
        <f t="shared" si="41"/>
        <v/>
      </c>
      <c r="U263" s="114" t="str">
        <f t="shared" si="42"/>
        <v/>
      </c>
      <c r="V263" s="114" t="str">
        <f t="shared" si="43"/>
        <v/>
      </c>
      <c r="W263" s="114" t="str">
        <f t="shared" si="39"/>
        <v/>
      </c>
    </row>
    <row r="264" spans="13:23" x14ac:dyDescent="0.25">
      <c r="M264" s="113"/>
      <c r="N264" s="109" t="str">
        <f t="shared" si="44"/>
        <v/>
      </c>
      <c r="O264" s="110" t="str">
        <f t="shared" si="45"/>
        <v/>
      </c>
      <c r="P264" s="114" t="str">
        <f t="shared" si="36"/>
        <v/>
      </c>
      <c r="Q264" s="114" t="str">
        <f t="shared" si="37"/>
        <v/>
      </c>
      <c r="R264" s="114" t="str">
        <f t="shared" si="38"/>
        <v/>
      </c>
      <c r="S264" s="114" t="str">
        <f t="shared" si="40"/>
        <v/>
      </c>
      <c r="T264" s="114" t="str">
        <f t="shared" si="41"/>
        <v/>
      </c>
      <c r="U264" s="114" t="str">
        <f t="shared" si="42"/>
        <v/>
      </c>
      <c r="V264" s="114" t="str">
        <f t="shared" si="43"/>
        <v/>
      </c>
      <c r="W264" s="114" t="str">
        <f t="shared" si="39"/>
        <v/>
      </c>
    </row>
    <row r="265" spans="13:23" x14ac:dyDescent="0.25">
      <c r="M265" s="113"/>
      <c r="N265" s="109" t="str">
        <f t="shared" si="44"/>
        <v/>
      </c>
      <c r="O265" s="110" t="str">
        <f t="shared" si="45"/>
        <v/>
      </c>
      <c r="P265" s="114" t="str">
        <f t="shared" si="36"/>
        <v/>
      </c>
      <c r="Q265" s="114" t="str">
        <f t="shared" si="37"/>
        <v/>
      </c>
      <c r="R265" s="114" t="str">
        <f t="shared" si="38"/>
        <v/>
      </c>
      <c r="S265" s="114" t="str">
        <f t="shared" si="40"/>
        <v/>
      </c>
      <c r="T265" s="114" t="str">
        <f t="shared" si="41"/>
        <v/>
      </c>
      <c r="U265" s="114" t="str">
        <f t="shared" si="42"/>
        <v/>
      </c>
      <c r="V265" s="114" t="str">
        <f t="shared" si="43"/>
        <v/>
      </c>
      <c r="W265" s="114" t="str">
        <f t="shared" si="39"/>
        <v/>
      </c>
    </row>
    <row r="266" spans="13:23" x14ac:dyDescent="0.25">
      <c r="M266" s="113"/>
      <c r="N266" s="109" t="str">
        <f t="shared" si="44"/>
        <v/>
      </c>
      <c r="O266" s="110" t="str">
        <f t="shared" si="45"/>
        <v/>
      </c>
      <c r="P266" s="114" t="str">
        <f t="shared" si="36"/>
        <v/>
      </c>
      <c r="Q266" s="114" t="str">
        <f t="shared" si="37"/>
        <v/>
      </c>
      <c r="R266" s="114" t="str">
        <f t="shared" si="38"/>
        <v/>
      </c>
      <c r="S266" s="114" t="str">
        <f t="shared" si="40"/>
        <v/>
      </c>
      <c r="T266" s="114" t="str">
        <f t="shared" si="41"/>
        <v/>
      </c>
      <c r="U266" s="114" t="str">
        <f t="shared" si="42"/>
        <v/>
      </c>
      <c r="V266" s="114" t="str">
        <f t="shared" si="43"/>
        <v/>
      </c>
      <c r="W266" s="114" t="str">
        <f t="shared" si="39"/>
        <v/>
      </c>
    </row>
    <row r="267" spans="13:23" x14ac:dyDescent="0.25">
      <c r="M267" s="113"/>
      <c r="N267" s="109" t="str">
        <f t="shared" si="44"/>
        <v/>
      </c>
      <c r="O267" s="110" t="str">
        <f t="shared" si="45"/>
        <v/>
      </c>
      <c r="P267" s="114" t="str">
        <f t="shared" si="36"/>
        <v/>
      </c>
      <c r="Q267" s="114" t="str">
        <f t="shared" si="37"/>
        <v/>
      </c>
      <c r="R267" s="114" t="str">
        <f t="shared" si="38"/>
        <v/>
      </c>
      <c r="S267" s="114" t="str">
        <f t="shared" si="40"/>
        <v/>
      </c>
      <c r="T267" s="114" t="str">
        <f t="shared" si="41"/>
        <v/>
      </c>
      <c r="U267" s="114" t="str">
        <f t="shared" si="42"/>
        <v/>
      </c>
      <c r="V267" s="114" t="str">
        <f t="shared" si="43"/>
        <v/>
      </c>
      <c r="W267" s="114" t="str">
        <f t="shared" si="39"/>
        <v/>
      </c>
    </row>
    <row r="268" spans="13:23" x14ac:dyDescent="0.25">
      <c r="M268" s="113"/>
      <c r="N268" s="109" t="str">
        <f t="shared" si="44"/>
        <v/>
      </c>
      <c r="O268" s="110" t="str">
        <f t="shared" si="45"/>
        <v/>
      </c>
      <c r="P268" s="114" t="str">
        <f t="shared" si="36"/>
        <v/>
      </c>
      <c r="Q268" s="114" t="str">
        <f t="shared" si="37"/>
        <v/>
      </c>
      <c r="R268" s="114" t="str">
        <f t="shared" si="38"/>
        <v/>
      </c>
      <c r="S268" s="114" t="str">
        <f t="shared" si="40"/>
        <v/>
      </c>
      <c r="T268" s="114" t="str">
        <f t="shared" si="41"/>
        <v/>
      </c>
      <c r="U268" s="114" t="str">
        <f t="shared" si="42"/>
        <v/>
      </c>
      <c r="V268" s="114" t="str">
        <f t="shared" si="43"/>
        <v/>
      </c>
      <c r="W268" s="114" t="str">
        <f t="shared" si="39"/>
        <v/>
      </c>
    </row>
    <row r="269" spans="13:23" x14ac:dyDescent="0.25">
      <c r="M269" s="113"/>
      <c r="N269" s="109" t="str">
        <f t="shared" si="44"/>
        <v/>
      </c>
      <c r="O269" s="110" t="str">
        <f t="shared" si="45"/>
        <v/>
      </c>
      <c r="P269" s="114" t="str">
        <f t="shared" si="36"/>
        <v/>
      </c>
      <c r="Q269" s="114" t="str">
        <f t="shared" si="37"/>
        <v/>
      </c>
      <c r="R269" s="114" t="str">
        <f t="shared" si="38"/>
        <v/>
      </c>
      <c r="S269" s="114" t="str">
        <f t="shared" si="40"/>
        <v/>
      </c>
      <c r="T269" s="114" t="str">
        <f t="shared" si="41"/>
        <v/>
      </c>
      <c r="U269" s="114" t="str">
        <f t="shared" si="42"/>
        <v/>
      </c>
      <c r="V269" s="114" t="str">
        <f t="shared" si="43"/>
        <v/>
      </c>
      <c r="W269" s="114" t="str">
        <f t="shared" si="39"/>
        <v/>
      </c>
    </row>
    <row r="270" spans="13:23" x14ac:dyDescent="0.25">
      <c r="M270" s="113"/>
      <c r="N270" s="109" t="str">
        <f t="shared" si="44"/>
        <v/>
      </c>
      <c r="O270" s="110" t="str">
        <f t="shared" si="45"/>
        <v/>
      </c>
      <c r="P270" s="114" t="str">
        <f t="shared" ref="P270:P313" si="46">IFERROR(IF(W269="","",IF(W269&lt;1,"",IF($F$32=1,IF(W269&lt;=0,0,IF($I$8="PRICE",IF(N270&lt;=$F$30,0,IF(N270="","",R270-Q270)),IF(N270&lt;=$F$30,0,IF(N270="","",ROUND((-$F$29/$T$8),2))))),IF(W269&lt;=0,0,IF($I$8="PRICE",IF(N270&lt;=$F$30,0,IF(N270="","",R270-Q270)),IF(N270&lt;=$F$30,0,IF(N270="","",ROUND((-$F$29/$F$28),2)))))))),"")</f>
        <v/>
      </c>
      <c r="Q270" s="114" t="str">
        <f t="shared" ref="Q270:Q313" si="47">IFERROR(IF(W269="","",IF(W269&lt;=1,"",IF($I$20="Amortização e Encargos",IF(N270&lt;=$F$30,0,IF(N270="","",ROUND(($I$26*W269*-1),2))),IF(N270="","",ROUND(($I$26*W269*-1),2))))),"")</f>
        <v/>
      </c>
      <c r="R270" s="114" t="str">
        <f t="shared" ref="R270:R313" si="48">IFERROR(IF(W269="","",IF(W269&lt;1,"",IF($F$32=1,IF(W269&lt;=0,0,IF($I$8="PRICE",IF($F$31=1,IF(N270&lt;=$F$30,ROUND((P270+Q270),2),IF(N270="","",ROUND((PMT($I$26,$T$8,$F$29,0,0)),2))),IF(N270="","",ROUND((P270+Q270),2))),IF(N270="","",ROUND((P270+Q270),2)))),IF(W269&lt;=0,ROUND((P270+Q270),2),IF($I$8="PRICE",IF($F$31=1,IF(N270&lt;=$F$30,ROUND((P270+Q270),2),IF(N270="","",ROUND((PMT($I$26,$F$28,$F$29,0,0)),2))),IF(N270="","",ROUND((P270+Q270),2))),IF(N270="","",ROUND((P270+Q270),2))))))),"")</f>
        <v/>
      </c>
      <c r="S270" s="114" t="str">
        <f t="shared" si="40"/>
        <v/>
      </c>
      <c r="T270" s="114" t="str">
        <f t="shared" si="41"/>
        <v/>
      </c>
      <c r="U270" s="114" t="str">
        <f t="shared" si="42"/>
        <v/>
      </c>
      <c r="V270" s="114" t="str">
        <f t="shared" si="43"/>
        <v/>
      </c>
      <c r="W270" s="114" t="str">
        <f t="shared" ref="W270:W313" si="49">IFERROR(IF(IF(W269="","",IF(W269&lt;1,"",IF(Q270=0,ROUND((W269*(1+$I$26)),4),ROUND((W269*(1+$I$26)),4)+P270+Q270)))&lt;3,0,(IF(W269="","",IF(W269&lt;1,"",IF(Q270=0,ROUND((W269*(1+$I$26)),4),ROUND((W269*(1+$I$26)),4)+P270+Q270))))),"")</f>
        <v/>
      </c>
    </row>
    <row r="271" spans="13:23" x14ac:dyDescent="0.25">
      <c r="M271" s="113"/>
      <c r="N271" s="109" t="str">
        <f t="shared" si="44"/>
        <v/>
      </c>
      <c r="O271" s="110" t="str">
        <f t="shared" si="45"/>
        <v/>
      </c>
      <c r="P271" s="114" t="str">
        <f t="shared" si="46"/>
        <v/>
      </c>
      <c r="Q271" s="114" t="str">
        <f t="shared" si="47"/>
        <v/>
      </c>
      <c r="R271" s="114" t="str">
        <f t="shared" si="48"/>
        <v/>
      </c>
      <c r="S271" s="114" t="str">
        <f t="shared" ref="S271:S313" si="50">IFERROR(IF(W270="","",IF(W270&lt;=1,"",IF(N271="","",ROUND(($F$23*W270*-1),2)))),"")</f>
        <v/>
      </c>
      <c r="T271" s="114" t="str">
        <f t="shared" ref="T271:T313" si="51">IFERROR(IF(W270="","",IF(W270&lt;=1,"",IF(N271="","",ROUND((-$I$6*$F$24),2)))),"")</f>
        <v/>
      </c>
      <c r="U271" s="114" t="str">
        <f t="shared" ref="U271:U313" si="52">IFERROR(IF(W270="","",IF(W270&lt;=1,"",IF(T271="","",ROUND((-$C$11),2)))),"")</f>
        <v/>
      </c>
      <c r="V271" s="114" t="str">
        <f t="shared" ref="V271:V313" si="53">IFERROR(IF(W270="","",IF(W270&lt;1,"",IF(N271="","",(R271+S271+T271+U271)))),"")</f>
        <v/>
      </c>
      <c r="W271" s="114" t="str">
        <f t="shared" si="49"/>
        <v/>
      </c>
    </row>
    <row r="272" spans="13:23" x14ac:dyDescent="0.25">
      <c r="M272" s="113"/>
      <c r="N272" s="109" t="str">
        <f t="shared" si="44"/>
        <v/>
      </c>
      <c r="O272" s="110" t="str">
        <f t="shared" si="45"/>
        <v/>
      </c>
      <c r="P272" s="114" t="str">
        <f t="shared" si="46"/>
        <v/>
      </c>
      <c r="Q272" s="114" t="str">
        <f t="shared" si="47"/>
        <v/>
      </c>
      <c r="R272" s="114" t="str">
        <f t="shared" si="48"/>
        <v/>
      </c>
      <c r="S272" s="114" t="str">
        <f t="shared" si="50"/>
        <v/>
      </c>
      <c r="T272" s="114" t="str">
        <f t="shared" si="51"/>
        <v/>
      </c>
      <c r="U272" s="114" t="str">
        <f t="shared" si="52"/>
        <v/>
      </c>
      <c r="V272" s="114" t="str">
        <f t="shared" si="53"/>
        <v/>
      </c>
      <c r="W272" s="114" t="str">
        <f t="shared" si="49"/>
        <v/>
      </c>
    </row>
    <row r="273" spans="13:23" x14ac:dyDescent="0.25">
      <c r="M273" s="113"/>
      <c r="N273" s="109" t="str">
        <f t="shared" si="44"/>
        <v/>
      </c>
      <c r="O273" s="110" t="str">
        <f t="shared" si="45"/>
        <v/>
      </c>
      <c r="P273" s="114" t="str">
        <f t="shared" si="46"/>
        <v/>
      </c>
      <c r="Q273" s="114" t="str">
        <f t="shared" si="47"/>
        <v/>
      </c>
      <c r="R273" s="114" t="str">
        <f t="shared" si="48"/>
        <v/>
      </c>
      <c r="S273" s="114" t="str">
        <f t="shared" si="50"/>
        <v/>
      </c>
      <c r="T273" s="114" t="str">
        <f t="shared" si="51"/>
        <v/>
      </c>
      <c r="U273" s="114" t="str">
        <f t="shared" si="52"/>
        <v/>
      </c>
      <c r="V273" s="114" t="str">
        <f t="shared" si="53"/>
        <v/>
      </c>
      <c r="W273" s="114" t="str">
        <f t="shared" si="49"/>
        <v/>
      </c>
    </row>
    <row r="274" spans="13:23" x14ac:dyDescent="0.25">
      <c r="M274" s="113"/>
      <c r="N274" s="109" t="str">
        <f t="shared" ref="N274:N313" si="54">IF(OR(W273&lt;0.1,W273=""),"",N273+1)</f>
        <v/>
      </c>
      <c r="O274" s="110" t="str">
        <f t="shared" ref="O274:O313" si="55">IF(W274="","",IF(N274="","",EDATE(O273,1)))</f>
        <v/>
      </c>
      <c r="P274" s="114" t="str">
        <f t="shared" si="46"/>
        <v/>
      </c>
      <c r="Q274" s="114" t="str">
        <f t="shared" si="47"/>
        <v/>
      </c>
      <c r="R274" s="114" t="str">
        <f t="shared" si="48"/>
        <v/>
      </c>
      <c r="S274" s="114" t="str">
        <f t="shared" si="50"/>
        <v/>
      </c>
      <c r="T274" s="114" t="str">
        <f t="shared" si="51"/>
        <v/>
      </c>
      <c r="U274" s="114" t="str">
        <f t="shared" si="52"/>
        <v/>
      </c>
      <c r="V274" s="114" t="str">
        <f t="shared" si="53"/>
        <v/>
      </c>
      <c r="W274" s="114" t="str">
        <f t="shared" si="49"/>
        <v/>
      </c>
    </row>
    <row r="275" spans="13:23" x14ac:dyDescent="0.25">
      <c r="M275" s="113"/>
      <c r="N275" s="109" t="str">
        <f t="shared" si="54"/>
        <v/>
      </c>
      <c r="O275" s="110" t="str">
        <f t="shared" si="55"/>
        <v/>
      </c>
      <c r="P275" s="114" t="str">
        <f t="shared" si="46"/>
        <v/>
      </c>
      <c r="Q275" s="114" t="str">
        <f t="shared" si="47"/>
        <v/>
      </c>
      <c r="R275" s="114" t="str">
        <f t="shared" si="48"/>
        <v/>
      </c>
      <c r="S275" s="114" t="str">
        <f t="shared" si="50"/>
        <v/>
      </c>
      <c r="T275" s="114" t="str">
        <f t="shared" si="51"/>
        <v/>
      </c>
      <c r="U275" s="114" t="str">
        <f t="shared" si="52"/>
        <v/>
      </c>
      <c r="V275" s="114" t="str">
        <f t="shared" si="53"/>
        <v/>
      </c>
      <c r="W275" s="114" t="str">
        <f t="shared" si="49"/>
        <v/>
      </c>
    </row>
    <row r="276" spans="13:23" x14ac:dyDescent="0.25">
      <c r="M276" s="113"/>
      <c r="N276" s="109" t="str">
        <f t="shared" si="54"/>
        <v/>
      </c>
      <c r="O276" s="110" t="str">
        <f t="shared" si="55"/>
        <v/>
      </c>
      <c r="P276" s="114" t="str">
        <f t="shared" si="46"/>
        <v/>
      </c>
      <c r="Q276" s="114" t="str">
        <f t="shared" si="47"/>
        <v/>
      </c>
      <c r="R276" s="114" t="str">
        <f t="shared" si="48"/>
        <v/>
      </c>
      <c r="S276" s="114" t="str">
        <f t="shared" si="50"/>
        <v/>
      </c>
      <c r="T276" s="114" t="str">
        <f t="shared" si="51"/>
        <v/>
      </c>
      <c r="U276" s="114" t="str">
        <f t="shared" si="52"/>
        <v/>
      </c>
      <c r="V276" s="114" t="str">
        <f t="shared" si="53"/>
        <v/>
      </c>
      <c r="W276" s="114" t="str">
        <f t="shared" si="49"/>
        <v/>
      </c>
    </row>
    <row r="277" spans="13:23" x14ac:dyDescent="0.25">
      <c r="M277" s="113"/>
      <c r="N277" s="109" t="str">
        <f t="shared" si="54"/>
        <v/>
      </c>
      <c r="O277" s="110" t="str">
        <f t="shared" si="55"/>
        <v/>
      </c>
      <c r="P277" s="114" t="str">
        <f t="shared" si="46"/>
        <v/>
      </c>
      <c r="Q277" s="114" t="str">
        <f t="shared" si="47"/>
        <v/>
      </c>
      <c r="R277" s="114" t="str">
        <f t="shared" si="48"/>
        <v/>
      </c>
      <c r="S277" s="114" t="str">
        <f t="shared" si="50"/>
        <v/>
      </c>
      <c r="T277" s="114" t="str">
        <f t="shared" si="51"/>
        <v/>
      </c>
      <c r="U277" s="114" t="str">
        <f t="shared" si="52"/>
        <v/>
      </c>
      <c r="V277" s="114" t="str">
        <f t="shared" si="53"/>
        <v/>
      </c>
      <c r="W277" s="114" t="str">
        <f t="shared" si="49"/>
        <v/>
      </c>
    </row>
    <row r="278" spans="13:23" x14ac:dyDescent="0.25">
      <c r="M278" s="113"/>
      <c r="N278" s="109" t="str">
        <f t="shared" si="54"/>
        <v/>
      </c>
      <c r="O278" s="110" t="str">
        <f t="shared" si="55"/>
        <v/>
      </c>
      <c r="P278" s="114" t="str">
        <f t="shared" si="46"/>
        <v/>
      </c>
      <c r="Q278" s="114" t="str">
        <f t="shared" si="47"/>
        <v/>
      </c>
      <c r="R278" s="114" t="str">
        <f t="shared" si="48"/>
        <v/>
      </c>
      <c r="S278" s="114" t="str">
        <f t="shared" si="50"/>
        <v/>
      </c>
      <c r="T278" s="114" t="str">
        <f t="shared" si="51"/>
        <v/>
      </c>
      <c r="U278" s="114" t="str">
        <f t="shared" si="52"/>
        <v/>
      </c>
      <c r="V278" s="114" t="str">
        <f t="shared" si="53"/>
        <v/>
      </c>
      <c r="W278" s="114" t="str">
        <f t="shared" si="49"/>
        <v/>
      </c>
    </row>
    <row r="279" spans="13:23" x14ac:dyDescent="0.25">
      <c r="M279" s="113"/>
      <c r="N279" s="109" t="str">
        <f t="shared" si="54"/>
        <v/>
      </c>
      <c r="O279" s="110" t="str">
        <f t="shared" si="55"/>
        <v/>
      </c>
      <c r="P279" s="114" t="str">
        <f t="shared" si="46"/>
        <v/>
      </c>
      <c r="Q279" s="114" t="str">
        <f t="shared" si="47"/>
        <v/>
      </c>
      <c r="R279" s="114" t="str">
        <f t="shared" si="48"/>
        <v/>
      </c>
      <c r="S279" s="114" t="str">
        <f t="shared" si="50"/>
        <v/>
      </c>
      <c r="T279" s="114" t="str">
        <f t="shared" si="51"/>
        <v/>
      </c>
      <c r="U279" s="114" t="str">
        <f t="shared" si="52"/>
        <v/>
      </c>
      <c r="V279" s="114" t="str">
        <f t="shared" si="53"/>
        <v/>
      </c>
      <c r="W279" s="114" t="str">
        <f t="shared" si="49"/>
        <v/>
      </c>
    </row>
    <row r="280" spans="13:23" x14ac:dyDescent="0.25">
      <c r="M280" s="113"/>
      <c r="N280" s="109" t="str">
        <f t="shared" si="54"/>
        <v/>
      </c>
      <c r="O280" s="110" t="str">
        <f t="shared" si="55"/>
        <v/>
      </c>
      <c r="P280" s="114" t="str">
        <f t="shared" si="46"/>
        <v/>
      </c>
      <c r="Q280" s="114" t="str">
        <f t="shared" si="47"/>
        <v/>
      </c>
      <c r="R280" s="114" t="str">
        <f t="shared" si="48"/>
        <v/>
      </c>
      <c r="S280" s="114" t="str">
        <f t="shared" si="50"/>
        <v/>
      </c>
      <c r="T280" s="114" t="str">
        <f t="shared" si="51"/>
        <v/>
      </c>
      <c r="U280" s="114" t="str">
        <f t="shared" si="52"/>
        <v/>
      </c>
      <c r="V280" s="114" t="str">
        <f t="shared" si="53"/>
        <v/>
      </c>
      <c r="W280" s="114" t="str">
        <f t="shared" si="49"/>
        <v/>
      </c>
    </row>
    <row r="281" spans="13:23" x14ac:dyDescent="0.25">
      <c r="M281" s="113"/>
      <c r="N281" s="109" t="str">
        <f t="shared" si="54"/>
        <v/>
      </c>
      <c r="O281" s="110" t="str">
        <f t="shared" si="55"/>
        <v/>
      </c>
      <c r="P281" s="114" t="str">
        <f t="shared" si="46"/>
        <v/>
      </c>
      <c r="Q281" s="114" t="str">
        <f t="shared" si="47"/>
        <v/>
      </c>
      <c r="R281" s="114" t="str">
        <f t="shared" si="48"/>
        <v/>
      </c>
      <c r="S281" s="114" t="str">
        <f t="shared" si="50"/>
        <v/>
      </c>
      <c r="T281" s="114" t="str">
        <f t="shared" si="51"/>
        <v/>
      </c>
      <c r="U281" s="114" t="str">
        <f t="shared" si="52"/>
        <v/>
      </c>
      <c r="V281" s="114" t="str">
        <f t="shared" si="53"/>
        <v/>
      </c>
      <c r="W281" s="114" t="str">
        <f t="shared" si="49"/>
        <v/>
      </c>
    </row>
    <row r="282" spans="13:23" x14ac:dyDescent="0.25">
      <c r="M282" s="113"/>
      <c r="N282" s="109" t="str">
        <f t="shared" si="54"/>
        <v/>
      </c>
      <c r="O282" s="110" t="str">
        <f t="shared" si="55"/>
        <v/>
      </c>
      <c r="P282" s="114" t="str">
        <f t="shared" si="46"/>
        <v/>
      </c>
      <c r="Q282" s="114" t="str">
        <f t="shared" si="47"/>
        <v/>
      </c>
      <c r="R282" s="114" t="str">
        <f t="shared" si="48"/>
        <v/>
      </c>
      <c r="S282" s="114" t="str">
        <f t="shared" si="50"/>
        <v/>
      </c>
      <c r="T282" s="114" t="str">
        <f t="shared" si="51"/>
        <v/>
      </c>
      <c r="U282" s="114" t="str">
        <f t="shared" si="52"/>
        <v/>
      </c>
      <c r="V282" s="114" t="str">
        <f t="shared" si="53"/>
        <v/>
      </c>
      <c r="W282" s="114" t="str">
        <f t="shared" si="49"/>
        <v/>
      </c>
    </row>
    <row r="283" spans="13:23" x14ac:dyDescent="0.25">
      <c r="M283" s="113"/>
      <c r="N283" s="109" t="str">
        <f t="shared" si="54"/>
        <v/>
      </c>
      <c r="O283" s="110" t="str">
        <f t="shared" si="55"/>
        <v/>
      </c>
      <c r="P283" s="114" t="str">
        <f t="shared" si="46"/>
        <v/>
      </c>
      <c r="Q283" s="114" t="str">
        <f t="shared" si="47"/>
        <v/>
      </c>
      <c r="R283" s="114" t="str">
        <f t="shared" si="48"/>
        <v/>
      </c>
      <c r="S283" s="114" t="str">
        <f t="shared" si="50"/>
        <v/>
      </c>
      <c r="T283" s="114" t="str">
        <f t="shared" si="51"/>
        <v/>
      </c>
      <c r="U283" s="114" t="str">
        <f t="shared" si="52"/>
        <v/>
      </c>
      <c r="V283" s="114" t="str">
        <f t="shared" si="53"/>
        <v/>
      </c>
      <c r="W283" s="114" t="str">
        <f t="shared" si="49"/>
        <v/>
      </c>
    </row>
    <row r="284" spans="13:23" x14ac:dyDescent="0.25">
      <c r="M284" s="113"/>
      <c r="N284" s="109" t="str">
        <f t="shared" si="54"/>
        <v/>
      </c>
      <c r="O284" s="110" t="str">
        <f t="shared" si="55"/>
        <v/>
      </c>
      <c r="P284" s="114" t="str">
        <f t="shared" si="46"/>
        <v/>
      </c>
      <c r="Q284" s="114" t="str">
        <f t="shared" si="47"/>
        <v/>
      </c>
      <c r="R284" s="114" t="str">
        <f t="shared" si="48"/>
        <v/>
      </c>
      <c r="S284" s="114" t="str">
        <f t="shared" si="50"/>
        <v/>
      </c>
      <c r="T284" s="114" t="str">
        <f t="shared" si="51"/>
        <v/>
      </c>
      <c r="U284" s="114" t="str">
        <f t="shared" si="52"/>
        <v/>
      </c>
      <c r="V284" s="114" t="str">
        <f t="shared" si="53"/>
        <v/>
      </c>
      <c r="W284" s="114" t="str">
        <f t="shared" si="49"/>
        <v/>
      </c>
    </row>
    <row r="285" spans="13:23" x14ac:dyDescent="0.25">
      <c r="M285" s="113"/>
      <c r="N285" s="109" t="str">
        <f t="shared" si="54"/>
        <v/>
      </c>
      <c r="O285" s="110" t="str">
        <f t="shared" si="55"/>
        <v/>
      </c>
      <c r="P285" s="114" t="str">
        <f t="shared" si="46"/>
        <v/>
      </c>
      <c r="Q285" s="114" t="str">
        <f t="shared" si="47"/>
        <v/>
      </c>
      <c r="R285" s="114" t="str">
        <f t="shared" si="48"/>
        <v/>
      </c>
      <c r="S285" s="114" t="str">
        <f t="shared" si="50"/>
        <v/>
      </c>
      <c r="T285" s="114" t="str">
        <f t="shared" si="51"/>
        <v/>
      </c>
      <c r="U285" s="114" t="str">
        <f t="shared" si="52"/>
        <v/>
      </c>
      <c r="V285" s="114" t="str">
        <f t="shared" si="53"/>
        <v/>
      </c>
      <c r="W285" s="114" t="str">
        <f t="shared" si="49"/>
        <v/>
      </c>
    </row>
    <row r="286" spans="13:23" x14ac:dyDescent="0.25">
      <c r="M286" s="113"/>
      <c r="N286" s="109" t="str">
        <f t="shared" si="54"/>
        <v/>
      </c>
      <c r="O286" s="110" t="str">
        <f t="shared" si="55"/>
        <v/>
      </c>
      <c r="P286" s="114" t="str">
        <f t="shared" si="46"/>
        <v/>
      </c>
      <c r="Q286" s="114" t="str">
        <f t="shared" si="47"/>
        <v/>
      </c>
      <c r="R286" s="114" t="str">
        <f t="shared" si="48"/>
        <v/>
      </c>
      <c r="S286" s="114" t="str">
        <f t="shared" si="50"/>
        <v/>
      </c>
      <c r="T286" s="114" t="str">
        <f t="shared" si="51"/>
        <v/>
      </c>
      <c r="U286" s="114" t="str">
        <f t="shared" si="52"/>
        <v/>
      </c>
      <c r="V286" s="114" t="str">
        <f t="shared" si="53"/>
        <v/>
      </c>
      <c r="W286" s="114" t="str">
        <f t="shared" si="49"/>
        <v/>
      </c>
    </row>
    <row r="287" spans="13:23" x14ac:dyDescent="0.25">
      <c r="M287" s="113"/>
      <c r="N287" s="109" t="str">
        <f t="shared" si="54"/>
        <v/>
      </c>
      <c r="O287" s="110" t="str">
        <f t="shared" si="55"/>
        <v/>
      </c>
      <c r="P287" s="114" t="str">
        <f t="shared" si="46"/>
        <v/>
      </c>
      <c r="Q287" s="114" t="str">
        <f t="shared" si="47"/>
        <v/>
      </c>
      <c r="R287" s="114" t="str">
        <f t="shared" si="48"/>
        <v/>
      </c>
      <c r="S287" s="114" t="str">
        <f t="shared" si="50"/>
        <v/>
      </c>
      <c r="T287" s="114" t="str">
        <f t="shared" si="51"/>
        <v/>
      </c>
      <c r="U287" s="114" t="str">
        <f t="shared" si="52"/>
        <v/>
      </c>
      <c r="V287" s="114" t="str">
        <f t="shared" si="53"/>
        <v/>
      </c>
      <c r="W287" s="114" t="str">
        <f t="shared" si="49"/>
        <v/>
      </c>
    </row>
    <row r="288" spans="13:23" x14ac:dyDescent="0.25">
      <c r="M288" s="113"/>
      <c r="N288" s="109" t="str">
        <f t="shared" si="54"/>
        <v/>
      </c>
      <c r="O288" s="110" t="str">
        <f t="shared" si="55"/>
        <v/>
      </c>
      <c r="P288" s="114" t="str">
        <f t="shared" si="46"/>
        <v/>
      </c>
      <c r="Q288" s="114" t="str">
        <f t="shared" si="47"/>
        <v/>
      </c>
      <c r="R288" s="114" t="str">
        <f t="shared" si="48"/>
        <v/>
      </c>
      <c r="S288" s="114" t="str">
        <f t="shared" si="50"/>
        <v/>
      </c>
      <c r="T288" s="114" t="str">
        <f t="shared" si="51"/>
        <v/>
      </c>
      <c r="U288" s="114" t="str">
        <f t="shared" si="52"/>
        <v/>
      </c>
      <c r="V288" s="114" t="str">
        <f t="shared" si="53"/>
        <v/>
      </c>
      <c r="W288" s="114" t="str">
        <f t="shared" si="49"/>
        <v/>
      </c>
    </row>
    <row r="289" spans="13:23" x14ac:dyDescent="0.25">
      <c r="M289" s="113"/>
      <c r="N289" s="109" t="str">
        <f t="shared" si="54"/>
        <v/>
      </c>
      <c r="O289" s="110" t="str">
        <f t="shared" si="55"/>
        <v/>
      </c>
      <c r="P289" s="114" t="str">
        <f t="shared" si="46"/>
        <v/>
      </c>
      <c r="Q289" s="114" t="str">
        <f t="shared" si="47"/>
        <v/>
      </c>
      <c r="R289" s="114" t="str">
        <f t="shared" si="48"/>
        <v/>
      </c>
      <c r="S289" s="114" t="str">
        <f t="shared" si="50"/>
        <v/>
      </c>
      <c r="T289" s="114" t="str">
        <f t="shared" si="51"/>
        <v/>
      </c>
      <c r="U289" s="114" t="str">
        <f t="shared" si="52"/>
        <v/>
      </c>
      <c r="V289" s="114" t="str">
        <f t="shared" si="53"/>
        <v/>
      </c>
      <c r="W289" s="114" t="str">
        <f t="shared" si="49"/>
        <v/>
      </c>
    </row>
    <row r="290" spans="13:23" x14ac:dyDescent="0.25">
      <c r="M290" s="113"/>
      <c r="N290" s="109" t="str">
        <f t="shared" si="54"/>
        <v/>
      </c>
      <c r="O290" s="110" t="str">
        <f t="shared" si="55"/>
        <v/>
      </c>
      <c r="P290" s="114" t="str">
        <f t="shared" si="46"/>
        <v/>
      </c>
      <c r="Q290" s="114" t="str">
        <f t="shared" si="47"/>
        <v/>
      </c>
      <c r="R290" s="114" t="str">
        <f t="shared" si="48"/>
        <v/>
      </c>
      <c r="S290" s="114" t="str">
        <f t="shared" si="50"/>
        <v/>
      </c>
      <c r="T290" s="114" t="str">
        <f t="shared" si="51"/>
        <v/>
      </c>
      <c r="U290" s="114" t="str">
        <f t="shared" si="52"/>
        <v/>
      </c>
      <c r="V290" s="114" t="str">
        <f t="shared" si="53"/>
        <v/>
      </c>
      <c r="W290" s="114" t="str">
        <f t="shared" si="49"/>
        <v/>
      </c>
    </row>
    <row r="291" spans="13:23" x14ac:dyDescent="0.25">
      <c r="M291" s="113"/>
      <c r="N291" s="109" t="str">
        <f t="shared" si="54"/>
        <v/>
      </c>
      <c r="O291" s="110" t="str">
        <f t="shared" si="55"/>
        <v/>
      </c>
      <c r="P291" s="114" t="str">
        <f t="shared" si="46"/>
        <v/>
      </c>
      <c r="Q291" s="114" t="str">
        <f t="shared" si="47"/>
        <v/>
      </c>
      <c r="R291" s="114" t="str">
        <f t="shared" si="48"/>
        <v/>
      </c>
      <c r="S291" s="114" t="str">
        <f t="shared" si="50"/>
        <v/>
      </c>
      <c r="T291" s="114" t="str">
        <f t="shared" si="51"/>
        <v/>
      </c>
      <c r="U291" s="114" t="str">
        <f t="shared" si="52"/>
        <v/>
      </c>
      <c r="V291" s="114" t="str">
        <f t="shared" si="53"/>
        <v/>
      </c>
      <c r="W291" s="114" t="str">
        <f t="shared" si="49"/>
        <v/>
      </c>
    </row>
    <row r="292" spans="13:23" x14ac:dyDescent="0.25">
      <c r="M292" s="113"/>
      <c r="N292" s="109" t="str">
        <f t="shared" si="54"/>
        <v/>
      </c>
      <c r="O292" s="110" t="str">
        <f t="shared" si="55"/>
        <v/>
      </c>
      <c r="P292" s="114" t="str">
        <f t="shared" si="46"/>
        <v/>
      </c>
      <c r="Q292" s="114" t="str">
        <f t="shared" si="47"/>
        <v/>
      </c>
      <c r="R292" s="114" t="str">
        <f t="shared" si="48"/>
        <v/>
      </c>
      <c r="S292" s="114" t="str">
        <f t="shared" si="50"/>
        <v/>
      </c>
      <c r="T292" s="114" t="str">
        <f t="shared" si="51"/>
        <v/>
      </c>
      <c r="U292" s="114" t="str">
        <f t="shared" si="52"/>
        <v/>
      </c>
      <c r="V292" s="114" t="str">
        <f t="shared" si="53"/>
        <v/>
      </c>
      <c r="W292" s="114" t="str">
        <f t="shared" si="49"/>
        <v/>
      </c>
    </row>
    <row r="293" spans="13:23" x14ac:dyDescent="0.25">
      <c r="M293" s="113"/>
      <c r="N293" s="109" t="str">
        <f t="shared" si="54"/>
        <v/>
      </c>
      <c r="O293" s="110" t="str">
        <f t="shared" si="55"/>
        <v/>
      </c>
      <c r="P293" s="114" t="str">
        <f t="shared" si="46"/>
        <v/>
      </c>
      <c r="Q293" s="114" t="str">
        <f t="shared" si="47"/>
        <v/>
      </c>
      <c r="R293" s="114" t="str">
        <f t="shared" si="48"/>
        <v/>
      </c>
      <c r="S293" s="114" t="str">
        <f t="shared" si="50"/>
        <v/>
      </c>
      <c r="T293" s="114" t="str">
        <f t="shared" si="51"/>
        <v/>
      </c>
      <c r="U293" s="114" t="str">
        <f t="shared" si="52"/>
        <v/>
      </c>
      <c r="V293" s="114" t="str">
        <f t="shared" si="53"/>
        <v/>
      </c>
      <c r="W293" s="114" t="str">
        <f t="shared" si="49"/>
        <v/>
      </c>
    </row>
    <row r="294" spans="13:23" x14ac:dyDescent="0.25">
      <c r="M294" s="113"/>
      <c r="N294" s="109" t="str">
        <f t="shared" si="54"/>
        <v/>
      </c>
      <c r="O294" s="110" t="str">
        <f t="shared" si="55"/>
        <v/>
      </c>
      <c r="P294" s="114" t="str">
        <f t="shared" si="46"/>
        <v/>
      </c>
      <c r="Q294" s="114" t="str">
        <f t="shared" si="47"/>
        <v/>
      </c>
      <c r="R294" s="114" t="str">
        <f t="shared" si="48"/>
        <v/>
      </c>
      <c r="S294" s="114" t="str">
        <f t="shared" si="50"/>
        <v/>
      </c>
      <c r="T294" s="114" t="str">
        <f t="shared" si="51"/>
        <v/>
      </c>
      <c r="U294" s="114" t="str">
        <f t="shared" si="52"/>
        <v/>
      </c>
      <c r="V294" s="114" t="str">
        <f t="shared" si="53"/>
        <v/>
      </c>
      <c r="W294" s="114" t="str">
        <f t="shared" si="49"/>
        <v/>
      </c>
    </row>
    <row r="295" spans="13:23" x14ac:dyDescent="0.25">
      <c r="M295" s="113"/>
      <c r="N295" s="109" t="str">
        <f t="shared" si="54"/>
        <v/>
      </c>
      <c r="O295" s="110" t="str">
        <f t="shared" si="55"/>
        <v/>
      </c>
      <c r="P295" s="114" t="str">
        <f t="shared" si="46"/>
        <v/>
      </c>
      <c r="Q295" s="114" t="str">
        <f t="shared" si="47"/>
        <v/>
      </c>
      <c r="R295" s="114" t="str">
        <f t="shared" si="48"/>
        <v/>
      </c>
      <c r="S295" s="114" t="str">
        <f t="shared" si="50"/>
        <v/>
      </c>
      <c r="T295" s="114" t="str">
        <f t="shared" si="51"/>
        <v/>
      </c>
      <c r="U295" s="114" t="str">
        <f t="shared" si="52"/>
        <v/>
      </c>
      <c r="V295" s="114" t="str">
        <f t="shared" si="53"/>
        <v/>
      </c>
      <c r="W295" s="114" t="str">
        <f t="shared" si="49"/>
        <v/>
      </c>
    </row>
    <row r="296" spans="13:23" x14ac:dyDescent="0.25">
      <c r="M296" s="113"/>
      <c r="N296" s="109" t="str">
        <f t="shared" si="54"/>
        <v/>
      </c>
      <c r="O296" s="110" t="str">
        <f t="shared" si="55"/>
        <v/>
      </c>
      <c r="P296" s="114" t="str">
        <f t="shared" si="46"/>
        <v/>
      </c>
      <c r="Q296" s="114" t="str">
        <f t="shared" si="47"/>
        <v/>
      </c>
      <c r="R296" s="114" t="str">
        <f t="shared" si="48"/>
        <v/>
      </c>
      <c r="S296" s="114" t="str">
        <f t="shared" si="50"/>
        <v/>
      </c>
      <c r="T296" s="114" t="str">
        <f t="shared" si="51"/>
        <v/>
      </c>
      <c r="U296" s="114" t="str">
        <f t="shared" si="52"/>
        <v/>
      </c>
      <c r="V296" s="114" t="str">
        <f t="shared" si="53"/>
        <v/>
      </c>
      <c r="W296" s="114" t="str">
        <f t="shared" si="49"/>
        <v/>
      </c>
    </row>
    <row r="297" spans="13:23" x14ac:dyDescent="0.25">
      <c r="M297" s="113"/>
      <c r="N297" s="109" t="str">
        <f t="shared" si="54"/>
        <v/>
      </c>
      <c r="O297" s="110" t="str">
        <f t="shared" si="55"/>
        <v/>
      </c>
      <c r="P297" s="114" t="str">
        <f t="shared" si="46"/>
        <v/>
      </c>
      <c r="Q297" s="114" t="str">
        <f t="shared" si="47"/>
        <v/>
      </c>
      <c r="R297" s="114" t="str">
        <f t="shared" si="48"/>
        <v/>
      </c>
      <c r="S297" s="114" t="str">
        <f t="shared" si="50"/>
        <v/>
      </c>
      <c r="T297" s="114" t="str">
        <f t="shared" si="51"/>
        <v/>
      </c>
      <c r="U297" s="114" t="str">
        <f t="shared" si="52"/>
        <v/>
      </c>
      <c r="V297" s="114" t="str">
        <f t="shared" si="53"/>
        <v/>
      </c>
      <c r="W297" s="114" t="str">
        <f t="shared" si="49"/>
        <v/>
      </c>
    </row>
    <row r="298" spans="13:23" x14ac:dyDescent="0.25">
      <c r="M298" s="113"/>
      <c r="N298" s="109" t="str">
        <f t="shared" si="54"/>
        <v/>
      </c>
      <c r="O298" s="110" t="str">
        <f t="shared" si="55"/>
        <v/>
      </c>
      <c r="P298" s="114" t="str">
        <f t="shared" si="46"/>
        <v/>
      </c>
      <c r="Q298" s="114" t="str">
        <f t="shared" si="47"/>
        <v/>
      </c>
      <c r="R298" s="114" t="str">
        <f t="shared" si="48"/>
        <v/>
      </c>
      <c r="S298" s="114" t="str">
        <f t="shared" si="50"/>
        <v/>
      </c>
      <c r="T298" s="114" t="str">
        <f t="shared" si="51"/>
        <v/>
      </c>
      <c r="U298" s="114" t="str">
        <f t="shared" si="52"/>
        <v/>
      </c>
      <c r="V298" s="114" t="str">
        <f t="shared" si="53"/>
        <v/>
      </c>
      <c r="W298" s="114" t="str">
        <f t="shared" si="49"/>
        <v/>
      </c>
    </row>
    <row r="299" spans="13:23" x14ac:dyDescent="0.25">
      <c r="M299" s="113"/>
      <c r="N299" s="109" t="str">
        <f t="shared" si="54"/>
        <v/>
      </c>
      <c r="O299" s="110" t="str">
        <f t="shared" si="55"/>
        <v/>
      </c>
      <c r="P299" s="114" t="str">
        <f t="shared" si="46"/>
        <v/>
      </c>
      <c r="Q299" s="114" t="str">
        <f t="shared" si="47"/>
        <v/>
      </c>
      <c r="R299" s="114" t="str">
        <f t="shared" si="48"/>
        <v/>
      </c>
      <c r="S299" s="114" t="str">
        <f t="shared" si="50"/>
        <v/>
      </c>
      <c r="T299" s="114" t="str">
        <f t="shared" si="51"/>
        <v/>
      </c>
      <c r="U299" s="114" t="str">
        <f t="shared" si="52"/>
        <v/>
      </c>
      <c r="V299" s="114" t="str">
        <f t="shared" si="53"/>
        <v/>
      </c>
      <c r="W299" s="114" t="str">
        <f t="shared" si="49"/>
        <v/>
      </c>
    </row>
    <row r="300" spans="13:23" x14ac:dyDescent="0.25">
      <c r="M300" s="113"/>
      <c r="N300" s="109" t="str">
        <f t="shared" si="54"/>
        <v/>
      </c>
      <c r="O300" s="110" t="str">
        <f t="shared" si="55"/>
        <v/>
      </c>
      <c r="P300" s="114" t="str">
        <f t="shared" si="46"/>
        <v/>
      </c>
      <c r="Q300" s="114" t="str">
        <f t="shared" si="47"/>
        <v/>
      </c>
      <c r="R300" s="114" t="str">
        <f t="shared" si="48"/>
        <v/>
      </c>
      <c r="S300" s="114" t="str">
        <f t="shared" si="50"/>
        <v/>
      </c>
      <c r="T300" s="114" t="str">
        <f t="shared" si="51"/>
        <v/>
      </c>
      <c r="U300" s="114" t="str">
        <f t="shared" si="52"/>
        <v/>
      </c>
      <c r="V300" s="114" t="str">
        <f t="shared" si="53"/>
        <v/>
      </c>
      <c r="W300" s="114" t="str">
        <f t="shared" si="49"/>
        <v/>
      </c>
    </row>
    <row r="301" spans="13:23" x14ac:dyDescent="0.25">
      <c r="M301" s="113"/>
      <c r="N301" s="109" t="str">
        <f t="shared" si="54"/>
        <v/>
      </c>
      <c r="O301" s="110" t="str">
        <f t="shared" si="55"/>
        <v/>
      </c>
      <c r="P301" s="114" t="str">
        <f t="shared" si="46"/>
        <v/>
      </c>
      <c r="Q301" s="114" t="str">
        <f t="shared" si="47"/>
        <v/>
      </c>
      <c r="R301" s="114" t="str">
        <f t="shared" si="48"/>
        <v/>
      </c>
      <c r="S301" s="114" t="str">
        <f t="shared" si="50"/>
        <v/>
      </c>
      <c r="T301" s="114" t="str">
        <f t="shared" si="51"/>
        <v/>
      </c>
      <c r="U301" s="114" t="str">
        <f t="shared" si="52"/>
        <v/>
      </c>
      <c r="V301" s="114" t="str">
        <f t="shared" si="53"/>
        <v/>
      </c>
      <c r="W301" s="114" t="str">
        <f t="shared" si="49"/>
        <v/>
      </c>
    </row>
    <row r="302" spans="13:23" x14ac:dyDescent="0.25">
      <c r="M302" s="113"/>
      <c r="N302" s="109" t="str">
        <f t="shared" si="54"/>
        <v/>
      </c>
      <c r="O302" s="110" t="str">
        <f t="shared" si="55"/>
        <v/>
      </c>
      <c r="P302" s="114" t="str">
        <f t="shared" si="46"/>
        <v/>
      </c>
      <c r="Q302" s="114" t="str">
        <f t="shared" si="47"/>
        <v/>
      </c>
      <c r="R302" s="114" t="str">
        <f t="shared" si="48"/>
        <v/>
      </c>
      <c r="S302" s="114" t="str">
        <f t="shared" si="50"/>
        <v/>
      </c>
      <c r="T302" s="114" t="str">
        <f t="shared" si="51"/>
        <v/>
      </c>
      <c r="U302" s="114" t="str">
        <f t="shared" si="52"/>
        <v/>
      </c>
      <c r="V302" s="114" t="str">
        <f t="shared" si="53"/>
        <v/>
      </c>
      <c r="W302" s="114" t="str">
        <f t="shared" si="49"/>
        <v/>
      </c>
    </row>
    <row r="303" spans="13:23" x14ac:dyDescent="0.25">
      <c r="M303" s="113"/>
      <c r="N303" s="109" t="str">
        <f t="shared" si="54"/>
        <v/>
      </c>
      <c r="O303" s="110" t="str">
        <f t="shared" si="55"/>
        <v/>
      </c>
      <c r="P303" s="114" t="str">
        <f t="shared" si="46"/>
        <v/>
      </c>
      <c r="Q303" s="114" t="str">
        <f t="shared" si="47"/>
        <v/>
      </c>
      <c r="R303" s="114" t="str">
        <f t="shared" si="48"/>
        <v/>
      </c>
      <c r="S303" s="114" t="str">
        <f t="shared" si="50"/>
        <v/>
      </c>
      <c r="T303" s="114" t="str">
        <f t="shared" si="51"/>
        <v/>
      </c>
      <c r="U303" s="114" t="str">
        <f t="shared" si="52"/>
        <v/>
      </c>
      <c r="V303" s="114" t="str">
        <f t="shared" si="53"/>
        <v/>
      </c>
      <c r="W303" s="114" t="str">
        <f t="shared" si="49"/>
        <v/>
      </c>
    </row>
    <row r="304" spans="13:23" x14ac:dyDescent="0.25">
      <c r="M304" s="113"/>
      <c r="N304" s="109" t="str">
        <f t="shared" si="54"/>
        <v/>
      </c>
      <c r="O304" s="110" t="str">
        <f t="shared" si="55"/>
        <v/>
      </c>
      <c r="P304" s="114" t="str">
        <f t="shared" si="46"/>
        <v/>
      </c>
      <c r="Q304" s="114" t="str">
        <f t="shared" si="47"/>
        <v/>
      </c>
      <c r="R304" s="114" t="str">
        <f t="shared" si="48"/>
        <v/>
      </c>
      <c r="S304" s="114" t="str">
        <f t="shared" si="50"/>
        <v/>
      </c>
      <c r="T304" s="114" t="str">
        <f t="shared" si="51"/>
        <v/>
      </c>
      <c r="U304" s="114" t="str">
        <f t="shared" si="52"/>
        <v/>
      </c>
      <c r="V304" s="114" t="str">
        <f t="shared" si="53"/>
        <v/>
      </c>
      <c r="W304" s="114" t="str">
        <f t="shared" si="49"/>
        <v/>
      </c>
    </row>
    <row r="305" spans="13:23" x14ac:dyDescent="0.25">
      <c r="M305" s="113"/>
      <c r="N305" s="109" t="str">
        <f t="shared" si="54"/>
        <v/>
      </c>
      <c r="O305" s="110" t="str">
        <f t="shared" si="55"/>
        <v/>
      </c>
      <c r="P305" s="114" t="str">
        <f t="shared" si="46"/>
        <v/>
      </c>
      <c r="Q305" s="114" t="str">
        <f t="shared" si="47"/>
        <v/>
      </c>
      <c r="R305" s="114" t="str">
        <f t="shared" si="48"/>
        <v/>
      </c>
      <c r="S305" s="114" t="str">
        <f t="shared" si="50"/>
        <v/>
      </c>
      <c r="T305" s="114" t="str">
        <f t="shared" si="51"/>
        <v/>
      </c>
      <c r="U305" s="114" t="str">
        <f t="shared" si="52"/>
        <v/>
      </c>
      <c r="V305" s="114" t="str">
        <f t="shared" si="53"/>
        <v/>
      </c>
      <c r="W305" s="114" t="str">
        <f t="shared" si="49"/>
        <v/>
      </c>
    </row>
    <row r="306" spans="13:23" x14ac:dyDescent="0.25">
      <c r="M306" s="113"/>
      <c r="N306" s="109" t="str">
        <f t="shared" si="54"/>
        <v/>
      </c>
      <c r="O306" s="110" t="str">
        <f t="shared" si="55"/>
        <v/>
      </c>
      <c r="P306" s="114" t="str">
        <f t="shared" si="46"/>
        <v/>
      </c>
      <c r="Q306" s="114" t="str">
        <f t="shared" si="47"/>
        <v/>
      </c>
      <c r="R306" s="114" t="str">
        <f t="shared" si="48"/>
        <v/>
      </c>
      <c r="S306" s="114" t="str">
        <f t="shared" si="50"/>
        <v/>
      </c>
      <c r="T306" s="114" t="str">
        <f t="shared" si="51"/>
        <v/>
      </c>
      <c r="U306" s="114" t="str">
        <f t="shared" si="52"/>
        <v/>
      </c>
      <c r="V306" s="114" t="str">
        <f t="shared" si="53"/>
        <v/>
      </c>
      <c r="W306" s="114" t="str">
        <f t="shared" si="49"/>
        <v/>
      </c>
    </row>
    <row r="307" spans="13:23" x14ac:dyDescent="0.25">
      <c r="M307" s="113"/>
      <c r="N307" s="109" t="str">
        <f t="shared" si="54"/>
        <v/>
      </c>
      <c r="O307" s="110" t="str">
        <f t="shared" si="55"/>
        <v/>
      </c>
      <c r="P307" s="114" t="str">
        <f t="shared" si="46"/>
        <v/>
      </c>
      <c r="Q307" s="114" t="str">
        <f t="shared" si="47"/>
        <v/>
      </c>
      <c r="R307" s="114" t="str">
        <f t="shared" si="48"/>
        <v/>
      </c>
      <c r="S307" s="114" t="str">
        <f t="shared" si="50"/>
        <v/>
      </c>
      <c r="T307" s="114" t="str">
        <f t="shared" si="51"/>
        <v/>
      </c>
      <c r="U307" s="114" t="str">
        <f t="shared" si="52"/>
        <v/>
      </c>
      <c r="V307" s="114" t="str">
        <f t="shared" si="53"/>
        <v/>
      </c>
      <c r="W307" s="114" t="str">
        <f t="shared" si="49"/>
        <v/>
      </c>
    </row>
    <row r="308" spans="13:23" x14ac:dyDescent="0.25">
      <c r="M308" s="113"/>
      <c r="N308" s="109" t="str">
        <f t="shared" si="54"/>
        <v/>
      </c>
      <c r="O308" s="110" t="str">
        <f t="shared" si="55"/>
        <v/>
      </c>
      <c r="P308" s="114" t="str">
        <f t="shared" si="46"/>
        <v/>
      </c>
      <c r="Q308" s="114" t="str">
        <f t="shared" si="47"/>
        <v/>
      </c>
      <c r="R308" s="114" t="str">
        <f t="shared" si="48"/>
        <v/>
      </c>
      <c r="S308" s="114" t="str">
        <f t="shared" si="50"/>
        <v/>
      </c>
      <c r="T308" s="114" t="str">
        <f t="shared" si="51"/>
        <v/>
      </c>
      <c r="U308" s="114" t="str">
        <f t="shared" si="52"/>
        <v/>
      </c>
      <c r="V308" s="114" t="str">
        <f t="shared" si="53"/>
        <v/>
      </c>
      <c r="W308" s="114" t="str">
        <f t="shared" si="49"/>
        <v/>
      </c>
    </row>
    <row r="309" spans="13:23" x14ac:dyDescent="0.25">
      <c r="M309" s="113"/>
      <c r="N309" s="109" t="str">
        <f t="shared" si="54"/>
        <v/>
      </c>
      <c r="O309" s="110" t="str">
        <f t="shared" si="55"/>
        <v/>
      </c>
      <c r="P309" s="114" t="str">
        <f t="shared" si="46"/>
        <v/>
      </c>
      <c r="Q309" s="114" t="str">
        <f t="shared" si="47"/>
        <v/>
      </c>
      <c r="R309" s="114" t="str">
        <f t="shared" si="48"/>
        <v/>
      </c>
      <c r="S309" s="114" t="str">
        <f t="shared" si="50"/>
        <v/>
      </c>
      <c r="T309" s="114" t="str">
        <f t="shared" si="51"/>
        <v/>
      </c>
      <c r="U309" s="114" t="str">
        <f t="shared" si="52"/>
        <v/>
      </c>
      <c r="V309" s="114" t="str">
        <f t="shared" si="53"/>
        <v/>
      </c>
      <c r="W309" s="114" t="str">
        <f t="shared" si="49"/>
        <v/>
      </c>
    </row>
    <row r="310" spans="13:23" x14ac:dyDescent="0.25">
      <c r="M310" s="113"/>
      <c r="N310" s="109" t="str">
        <f t="shared" si="54"/>
        <v/>
      </c>
      <c r="O310" s="110" t="str">
        <f t="shared" si="55"/>
        <v/>
      </c>
      <c r="P310" s="114" t="str">
        <f t="shared" si="46"/>
        <v/>
      </c>
      <c r="Q310" s="114" t="str">
        <f t="shared" si="47"/>
        <v/>
      </c>
      <c r="R310" s="114" t="str">
        <f t="shared" si="48"/>
        <v/>
      </c>
      <c r="S310" s="114" t="str">
        <f t="shared" si="50"/>
        <v/>
      </c>
      <c r="T310" s="114" t="str">
        <f t="shared" si="51"/>
        <v/>
      </c>
      <c r="U310" s="114" t="str">
        <f t="shared" si="52"/>
        <v/>
      </c>
      <c r="V310" s="114" t="str">
        <f t="shared" si="53"/>
        <v/>
      </c>
      <c r="W310" s="114" t="str">
        <f t="shared" si="49"/>
        <v/>
      </c>
    </row>
    <row r="311" spans="13:23" x14ac:dyDescent="0.25">
      <c r="M311" s="113"/>
      <c r="N311" s="109" t="str">
        <f t="shared" si="54"/>
        <v/>
      </c>
      <c r="O311" s="110" t="str">
        <f t="shared" si="55"/>
        <v/>
      </c>
      <c r="P311" s="114" t="str">
        <f t="shared" si="46"/>
        <v/>
      </c>
      <c r="Q311" s="114" t="str">
        <f t="shared" si="47"/>
        <v/>
      </c>
      <c r="R311" s="114" t="str">
        <f t="shared" si="48"/>
        <v/>
      </c>
      <c r="S311" s="114" t="str">
        <f t="shared" si="50"/>
        <v/>
      </c>
      <c r="T311" s="114" t="str">
        <f t="shared" si="51"/>
        <v/>
      </c>
      <c r="U311" s="114" t="str">
        <f t="shared" si="52"/>
        <v/>
      </c>
      <c r="V311" s="114" t="str">
        <f t="shared" si="53"/>
        <v/>
      </c>
      <c r="W311" s="114" t="str">
        <f t="shared" si="49"/>
        <v/>
      </c>
    </row>
    <row r="312" spans="13:23" x14ac:dyDescent="0.25">
      <c r="M312" s="113"/>
      <c r="N312" s="109" t="str">
        <f t="shared" si="54"/>
        <v/>
      </c>
      <c r="O312" s="110" t="str">
        <f t="shared" si="55"/>
        <v/>
      </c>
      <c r="P312" s="114" t="str">
        <f t="shared" si="46"/>
        <v/>
      </c>
      <c r="Q312" s="114" t="str">
        <f t="shared" si="47"/>
        <v/>
      </c>
      <c r="R312" s="114" t="str">
        <f t="shared" si="48"/>
        <v/>
      </c>
      <c r="S312" s="114" t="str">
        <f t="shared" si="50"/>
        <v/>
      </c>
      <c r="T312" s="114" t="str">
        <f t="shared" si="51"/>
        <v/>
      </c>
      <c r="U312" s="114" t="str">
        <f t="shared" si="52"/>
        <v/>
      </c>
      <c r="V312" s="114" t="str">
        <f t="shared" si="53"/>
        <v/>
      </c>
      <c r="W312" s="114" t="str">
        <f t="shared" si="49"/>
        <v/>
      </c>
    </row>
    <row r="313" spans="13:23" x14ac:dyDescent="0.25">
      <c r="M313" s="113"/>
      <c r="N313" s="109" t="str">
        <f t="shared" si="54"/>
        <v/>
      </c>
      <c r="O313" s="110" t="str">
        <f t="shared" si="55"/>
        <v/>
      </c>
      <c r="P313" s="114" t="str">
        <f t="shared" si="46"/>
        <v/>
      </c>
      <c r="Q313" s="114" t="str">
        <f t="shared" si="47"/>
        <v/>
      </c>
      <c r="R313" s="114" t="str">
        <f t="shared" si="48"/>
        <v/>
      </c>
      <c r="S313" s="114" t="str">
        <f t="shared" si="50"/>
        <v/>
      </c>
      <c r="T313" s="114" t="str">
        <f t="shared" si="51"/>
        <v/>
      </c>
      <c r="U313" s="114" t="str">
        <f t="shared" si="52"/>
        <v/>
      </c>
      <c r="V313" s="114" t="str">
        <f t="shared" si="53"/>
        <v/>
      </c>
      <c r="W313" s="114" t="str">
        <f t="shared" si="49"/>
        <v/>
      </c>
    </row>
  </sheetData>
  <sheetProtection algorithmName="SHA-512" hashValue="RlMTaP0FGr+0P9bUMrw6JUB0Otyt/tg/VhY2oVPLQv4P21qJ14AqUIHpIorvl/R8ZRWs508qr0o4dXqXZPpymg==" saltValue="jVP2wB1/26gezWaLGl9eHQ==" spinCount="100000" sheet="1" objects="1" scenarios="1"/>
  <mergeCells count="1">
    <mergeCell ref="N11:W11"/>
  </mergeCells>
  <conditionalFormatting sqref="J23:J24">
    <cfRule type="cellIs" dxfId="0" priority="1" operator="equal">
      <formula>"VERIFICAR"</formula>
    </cfRule>
  </conditionalFormatting>
  <dataValidations count="2">
    <dataValidation type="list" allowBlank="1" showInputMessage="1" showErrorMessage="1" sqref="I9" xr:uid="{00000000-0002-0000-0000-000000000000}">
      <formula1>"Pré-Fixado,Pós-Fixado"</formula1>
    </dataValidation>
    <dataValidation type="list" allowBlank="1" showInputMessage="1" showErrorMessage="1" sqref="I8" xr:uid="{00000000-0002-0000-0000-000001000000}">
      <formula1>"SAC,PRICE"</formula1>
    </dataValidation>
  </dataValidations>
  <pageMargins left="0.25" right="0.25" top="0.75" bottom="0.75" header="0.3" footer="0.3"/>
  <pageSetup paperSize="9" scale="38" orientation="portrait" r:id="rId1"/>
  <ignoredErrors>
    <ignoredError sqref="F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00000000-0002-0000-0000-000002000000}">
          <x14:formula1>
            <xm:f>Apoio!$D$4:$D$22</xm:f>
          </x14:formula1>
          <xm:sqref>I7</xm:sqref>
        </x14:dataValidation>
        <x14:dataValidation type="list" allowBlank="1" showInputMessage="1" showErrorMessage="1" xr:uid="{00000000-0002-0000-0000-000003000000}">
          <x14:formula1>
            <xm:f>Apoio!$F$4:$F$5</xm:f>
          </x14:formula1>
          <xm:sqref>F27</xm:sqref>
        </x14:dataValidation>
        <x14:dataValidation type="list" allowBlank="1" showInputMessage="1" showErrorMessage="1" xr:uid="{00000000-0002-0000-0000-000004000000}">
          <x14:formula1>
            <xm:f>Apoio!$A$4:$A$6</xm:f>
          </x14:formula1>
          <xm:sqref>H15</xm:sqref>
        </x14:dataValidation>
        <x14:dataValidation type="list" allowBlank="1" showInputMessage="1" showErrorMessage="1" xr:uid="{00000000-0002-0000-0000-000005000000}">
          <x14:formula1>
            <xm:f>Apoio!$L$4:$L$19</xm:f>
          </x14:formula1>
          <xm:sqref>I19</xm:sqref>
        </x14:dataValidation>
        <x14:dataValidation type="list" allowBlank="1" showInputMessage="1" showErrorMessage="1" xr:uid="{00000000-0002-0000-0000-000006000000}">
          <x14:formula1>
            <xm:f>Apoio!$B$9:$B$10</xm:f>
          </x14:formula1>
          <xm:sqref>F24</xm:sqref>
        </x14:dataValidation>
        <x14:dataValidation type="list" allowBlank="1" showInputMessage="1" showErrorMessage="1" xr:uid="{00000000-0002-0000-0000-000007000000}">
          <x14:formula1>
            <xm:f>Apoio!$B$7:$B$8</xm:f>
          </x14:formula1>
          <xm:sqref>F23</xm:sqref>
        </x14:dataValidation>
        <x14:dataValidation type="list" allowBlank="1" showInputMessage="1" showErrorMessage="1" xr:uid="{00000000-0002-0000-0000-000008000000}">
          <x14:formula1>
            <xm:f>Apoio!$H$4:$H$5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4"/>
  <sheetViews>
    <sheetView workbookViewId="0">
      <selection activeCell="A6" sqref="A6"/>
    </sheetView>
  </sheetViews>
  <sheetFormatPr defaultRowHeight="15" x14ac:dyDescent="0.25"/>
  <cols>
    <col min="1" max="1" width="147" customWidth="1"/>
  </cols>
  <sheetData>
    <row r="1" spans="1:1" ht="15.75" thickBot="1" x14ac:dyDescent="0.3">
      <c r="A1" s="192"/>
    </row>
    <row r="2" spans="1:1" x14ac:dyDescent="0.25">
      <c r="A2" s="193"/>
    </row>
    <row r="3" spans="1:1" x14ac:dyDescent="0.25">
      <c r="A3" s="194" t="s">
        <v>176</v>
      </c>
    </row>
    <row r="4" spans="1:1" x14ac:dyDescent="0.25">
      <c r="A4" s="194" t="s">
        <v>177</v>
      </c>
    </row>
    <row r="5" spans="1:1" ht="15.75" thickBot="1" x14ac:dyDescent="0.3">
      <c r="A5" s="195" t="s">
        <v>178</v>
      </c>
    </row>
    <row r="6" spans="1:1" x14ac:dyDescent="0.25">
      <c r="A6" s="196"/>
    </row>
    <row r="7" spans="1:1" x14ac:dyDescent="0.25">
      <c r="A7" s="197"/>
    </row>
    <row r="8" spans="1:1" x14ac:dyDescent="0.25">
      <c r="A8" s="197"/>
    </row>
    <row r="9" spans="1:1" x14ac:dyDescent="0.25">
      <c r="A9" s="197"/>
    </row>
    <row r="10" spans="1:1" x14ac:dyDescent="0.25">
      <c r="A10" s="197"/>
    </row>
    <row r="11" spans="1:1" x14ac:dyDescent="0.25">
      <c r="A11" s="197"/>
    </row>
    <row r="12" spans="1:1" x14ac:dyDescent="0.25">
      <c r="A12" s="197"/>
    </row>
    <row r="13" spans="1:1" x14ac:dyDescent="0.25">
      <c r="A13" s="197"/>
    </row>
    <row r="14" spans="1:1" x14ac:dyDescent="0.25">
      <c r="A14" s="197"/>
    </row>
    <row r="15" spans="1:1" x14ac:dyDescent="0.25">
      <c r="A15" s="197"/>
    </row>
    <row r="16" spans="1:1" x14ac:dyDescent="0.25">
      <c r="A16" s="197"/>
    </row>
    <row r="17" spans="1:1" x14ac:dyDescent="0.25">
      <c r="A17" s="197"/>
    </row>
    <row r="18" spans="1:1" x14ac:dyDescent="0.25">
      <c r="A18" s="197"/>
    </row>
    <row r="19" spans="1:1" x14ac:dyDescent="0.25">
      <c r="A19" s="197"/>
    </row>
    <row r="20" spans="1:1" x14ac:dyDescent="0.25">
      <c r="A20" s="197"/>
    </row>
    <row r="21" spans="1:1" x14ac:dyDescent="0.25">
      <c r="A21" s="197"/>
    </row>
    <row r="22" spans="1:1" x14ac:dyDescent="0.25">
      <c r="A22" s="197"/>
    </row>
    <row r="23" spans="1:1" x14ac:dyDescent="0.25">
      <c r="A23" s="197"/>
    </row>
    <row r="24" spans="1:1" x14ac:dyDescent="0.25">
      <c r="A24" s="197"/>
    </row>
    <row r="25" spans="1:1" x14ac:dyDescent="0.25">
      <c r="A25" s="197"/>
    </row>
    <row r="26" spans="1:1" x14ac:dyDescent="0.25">
      <c r="A26" s="197"/>
    </row>
    <row r="27" spans="1:1" x14ac:dyDescent="0.25">
      <c r="A27" s="197"/>
    </row>
    <row r="28" spans="1:1" x14ac:dyDescent="0.25">
      <c r="A28" s="197"/>
    </row>
    <row r="29" spans="1:1" x14ac:dyDescent="0.25">
      <c r="A29" s="197"/>
    </row>
    <row r="30" spans="1:1" x14ac:dyDescent="0.25">
      <c r="A30" s="197"/>
    </row>
    <row r="31" spans="1:1" x14ac:dyDescent="0.25">
      <c r="A31" s="197"/>
    </row>
    <row r="32" spans="1:1" x14ac:dyDescent="0.25">
      <c r="A32" s="197"/>
    </row>
    <row r="33" spans="1:1" x14ac:dyDescent="0.25">
      <c r="A33" s="197"/>
    </row>
    <row r="34" spans="1:1" ht="15.75" thickBot="1" x14ac:dyDescent="0.3">
      <c r="A34" s="198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3"/>
  <sheetViews>
    <sheetView workbookViewId="0">
      <selection activeCell="A9" sqref="A9:G9"/>
    </sheetView>
  </sheetViews>
  <sheetFormatPr defaultRowHeight="15" x14ac:dyDescent="0.25"/>
  <cols>
    <col min="1" max="1" width="16.140625" customWidth="1"/>
    <col min="7" max="7" width="20.42578125" customWidth="1"/>
    <col min="27" max="27" width="18.140625" customWidth="1"/>
  </cols>
  <sheetData>
    <row r="1" spans="1:29" x14ac:dyDescent="0.25">
      <c r="A1" s="201" t="s">
        <v>12</v>
      </c>
      <c r="B1" s="216" t="s">
        <v>188</v>
      </c>
      <c r="C1" s="217"/>
      <c r="D1" s="218" t="s">
        <v>179</v>
      </c>
      <c r="E1" s="217"/>
      <c r="F1" s="216" t="s">
        <v>180</v>
      </c>
      <c r="G1" s="217"/>
    </row>
    <row r="2" spans="1:29" x14ac:dyDescent="0.25">
      <c r="A2" s="202" t="s">
        <v>189</v>
      </c>
      <c r="B2" s="212">
        <v>7.9000000000000008E-3</v>
      </c>
      <c r="C2" s="213"/>
      <c r="D2" s="213" t="s">
        <v>181</v>
      </c>
      <c r="E2" s="214"/>
      <c r="F2" s="213" t="s">
        <v>182</v>
      </c>
      <c r="G2" s="213"/>
    </row>
    <row r="3" spans="1:29" x14ac:dyDescent="0.25">
      <c r="A3" s="202" t="s">
        <v>189</v>
      </c>
      <c r="B3" s="212">
        <v>8.8999999999999999E-3</v>
      </c>
      <c r="C3" s="213"/>
      <c r="D3" s="213" t="s">
        <v>183</v>
      </c>
      <c r="E3" s="214"/>
      <c r="F3" s="213" t="s">
        <v>184</v>
      </c>
      <c r="G3" s="213"/>
    </row>
    <row r="4" spans="1:29" x14ac:dyDescent="0.25">
      <c r="A4" s="202" t="s">
        <v>189</v>
      </c>
      <c r="B4" s="212">
        <v>9.9000000000000008E-3</v>
      </c>
      <c r="C4" s="213"/>
      <c r="F4" s="213" t="s">
        <v>185</v>
      </c>
      <c r="G4" s="213"/>
    </row>
    <row r="5" spans="1:29" x14ac:dyDescent="0.25">
      <c r="A5" s="202" t="s">
        <v>189</v>
      </c>
      <c r="B5" s="215" t="s">
        <v>186</v>
      </c>
      <c r="C5" s="213"/>
    </row>
    <row r="6" spans="1:29" x14ac:dyDescent="0.25">
      <c r="A6" s="203"/>
    </row>
    <row r="7" spans="1:29" ht="15.75" customHeight="1" x14ac:dyDescent="0.25">
      <c r="A7" s="206" t="s">
        <v>187</v>
      </c>
      <c r="B7" s="207"/>
      <c r="C7" s="207"/>
      <c r="D7" s="207"/>
      <c r="E7" s="207"/>
      <c r="F7" s="207"/>
      <c r="G7" s="208"/>
    </row>
    <row r="9" spans="1:29" ht="30.75" customHeight="1" x14ac:dyDescent="0.25">
      <c r="A9" s="209" t="s">
        <v>190</v>
      </c>
      <c r="B9" s="210"/>
      <c r="C9" s="210"/>
      <c r="D9" s="210"/>
      <c r="E9" s="210"/>
      <c r="F9" s="210"/>
      <c r="G9" s="211"/>
      <c r="AC9" s="199"/>
    </row>
    <row r="13" spans="1:29" x14ac:dyDescent="0.25">
      <c r="H13" s="204"/>
      <c r="AA13" s="200"/>
    </row>
  </sheetData>
  <mergeCells count="14">
    <mergeCell ref="B1:C1"/>
    <mergeCell ref="D1:E1"/>
    <mergeCell ref="F1:G1"/>
    <mergeCell ref="B2:C2"/>
    <mergeCell ref="D2:E2"/>
    <mergeCell ref="F2:G2"/>
    <mergeCell ref="A7:G7"/>
    <mergeCell ref="A9:G9"/>
    <mergeCell ref="B3:C3"/>
    <mergeCell ref="D3:E3"/>
    <mergeCell ref="F3:G3"/>
    <mergeCell ref="B4:C4"/>
    <mergeCell ref="F4:G4"/>
    <mergeCell ref="B5:C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fitToPage="1"/>
  </sheetPr>
  <dimension ref="A1:P48"/>
  <sheetViews>
    <sheetView showGridLines="0" topLeftCell="P1" zoomScale="80" zoomScaleNormal="80" workbookViewId="0">
      <selection activeCell="O1" sqref="A1:O1048576"/>
    </sheetView>
  </sheetViews>
  <sheetFormatPr defaultColWidth="9.140625" defaultRowHeight="15" outlineLevelCol="1" x14ac:dyDescent="0.25"/>
  <cols>
    <col min="1" max="1" width="9.140625" style="5" hidden="1" customWidth="1" outlineLevel="1"/>
    <col min="2" max="2" width="1.7109375" style="5" hidden="1" customWidth="1" outlineLevel="1"/>
    <col min="3" max="3" width="37.85546875" style="4" hidden="1" customWidth="1" outlineLevel="1"/>
    <col min="4" max="4" width="25.7109375" style="156" hidden="1" customWidth="1" outlineLevel="1"/>
    <col min="5" max="5" width="2.140625" style="4" hidden="1" customWidth="1" outlineLevel="1"/>
    <col min="6" max="6" width="13.42578125" style="4" hidden="1" customWidth="1" outlineLevel="1"/>
    <col min="7" max="8" width="19.5703125" style="4" hidden="1" customWidth="1" outlineLevel="1"/>
    <col min="9" max="9" width="18.42578125" style="4" hidden="1" customWidth="1" outlineLevel="1"/>
    <col min="10" max="10" width="1.42578125" style="5" hidden="1" customWidth="1" outlineLevel="1"/>
    <col min="11" max="11" width="2.28515625" style="5" hidden="1" customWidth="1" outlineLevel="1"/>
    <col min="12" max="15" width="0" style="5" hidden="1" customWidth="1" outlineLevel="1"/>
    <col min="16" max="16" width="9.140625" style="5" collapsed="1"/>
    <col min="17" max="16384" width="9.140625" style="5"/>
  </cols>
  <sheetData>
    <row r="1" spans="2:12" s="22" customFormat="1" x14ac:dyDescent="0.25">
      <c r="C1" s="119"/>
      <c r="D1" s="119"/>
      <c r="E1" s="119"/>
      <c r="F1" s="119"/>
      <c r="G1" s="119"/>
      <c r="H1" s="119"/>
      <c r="I1" s="119"/>
    </row>
    <row r="2" spans="2:12" x14ac:dyDescent="0.25">
      <c r="D2" s="4"/>
    </row>
    <row r="3" spans="2:12" x14ac:dyDescent="0.25">
      <c r="B3" s="120"/>
      <c r="C3" s="237" t="s">
        <v>94</v>
      </c>
      <c r="D3" s="237"/>
      <c r="E3" s="237"/>
      <c r="F3" s="237"/>
      <c r="G3" s="237"/>
      <c r="H3" s="237"/>
      <c r="I3" s="237"/>
      <c r="J3" s="121"/>
    </row>
    <row r="4" spans="2:12" x14ac:dyDescent="0.25">
      <c r="B4" s="122"/>
      <c r="C4" s="123"/>
      <c r="D4" s="124"/>
      <c r="E4" s="123"/>
      <c r="F4" s="123"/>
      <c r="G4" s="123"/>
      <c r="H4" s="123"/>
      <c r="I4" s="123"/>
      <c r="J4" s="125"/>
    </row>
    <row r="5" spans="2:12" x14ac:dyDescent="0.25">
      <c r="B5" s="122"/>
      <c r="C5" s="126" t="s">
        <v>154</v>
      </c>
      <c r="D5" s="229"/>
      <c r="E5" s="230"/>
      <c r="F5" s="231"/>
      <c r="G5" s="171" t="s">
        <v>95</v>
      </c>
      <c r="H5" s="238"/>
      <c r="I5" s="239"/>
      <c r="J5" s="125"/>
    </row>
    <row r="6" spans="2:12" x14ac:dyDescent="0.25">
      <c r="B6" s="122"/>
      <c r="C6" s="126" t="s">
        <v>158</v>
      </c>
      <c r="D6" s="232"/>
      <c r="E6" s="233"/>
      <c r="F6" s="234"/>
      <c r="G6" s="172" t="s">
        <v>95</v>
      </c>
      <c r="H6" s="240"/>
      <c r="I6" s="240"/>
      <c r="J6" s="125"/>
    </row>
    <row r="7" spans="2:12" x14ac:dyDescent="0.25">
      <c r="B7" s="122"/>
      <c r="C7" s="126" t="s">
        <v>96</v>
      </c>
      <c r="D7" s="241"/>
      <c r="E7" s="241"/>
      <c r="F7" s="241"/>
      <c r="G7" s="241"/>
      <c r="H7" s="241"/>
      <c r="I7" s="241"/>
      <c r="J7" s="125"/>
    </row>
    <row r="8" spans="2:12" x14ac:dyDescent="0.25">
      <c r="B8" s="122"/>
      <c r="C8" s="126" t="s">
        <v>97</v>
      </c>
      <c r="D8" s="235"/>
      <c r="E8" s="236"/>
      <c r="F8" s="173" t="s">
        <v>98</v>
      </c>
      <c r="G8" s="174"/>
      <c r="H8" s="241" t="s">
        <v>148</v>
      </c>
      <c r="I8" s="241"/>
      <c r="J8" s="125"/>
      <c r="L8" s="175" t="s">
        <v>164</v>
      </c>
    </row>
    <row r="9" spans="2:12" x14ac:dyDescent="0.25">
      <c r="B9" s="122"/>
      <c r="C9" s="126" t="s">
        <v>167</v>
      </c>
      <c r="D9" s="235"/>
      <c r="E9" s="236"/>
      <c r="F9" s="186"/>
      <c r="G9" s="186"/>
      <c r="H9" s="186"/>
      <c r="I9" s="186"/>
      <c r="J9" s="125"/>
      <c r="L9" s="175"/>
    </row>
    <row r="10" spans="2:12" x14ac:dyDescent="0.25">
      <c r="B10" s="122"/>
      <c r="C10" s="123"/>
      <c r="D10" s="124"/>
      <c r="E10" s="123"/>
      <c r="F10" s="123"/>
      <c r="G10" s="123"/>
      <c r="H10" s="123"/>
      <c r="I10" s="123"/>
      <c r="J10" s="125"/>
    </row>
    <row r="11" spans="2:12" x14ac:dyDescent="0.25">
      <c r="B11" s="122"/>
      <c r="C11" s="128"/>
      <c r="D11" s="129"/>
      <c r="E11" s="128"/>
      <c r="F11" s="128"/>
      <c r="G11" s="128"/>
      <c r="H11" s="128"/>
      <c r="I11" s="128"/>
      <c r="J11" s="125"/>
    </row>
    <row r="12" spans="2:12" x14ac:dyDescent="0.25">
      <c r="B12" s="130"/>
      <c r="C12" s="131" t="s">
        <v>99</v>
      </c>
      <c r="D12" s="132">
        <f>IF(SIMULADOR!W13="","",SIMULADOR!W13)</f>
        <v>756054.65</v>
      </c>
      <c r="E12" s="6"/>
      <c r="F12" s="126" t="s">
        <v>100</v>
      </c>
      <c r="G12" s="127"/>
      <c r="H12" s="242">
        <v>2000</v>
      </c>
      <c r="I12" s="243"/>
      <c r="J12" s="134"/>
      <c r="L12" s="175" t="s">
        <v>163</v>
      </c>
    </row>
    <row r="13" spans="2:12" x14ac:dyDescent="0.25">
      <c r="B13" s="130"/>
      <c r="C13" s="135">
        <f>SIMULADOR!F22</f>
        <v>0.04</v>
      </c>
      <c r="D13" s="133">
        <f>IF(D12="","",SIMULADOR!F15)</f>
        <v>30500</v>
      </c>
      <c r="E13" s="6"/>
      <c r="F13" s="126" t="s">
        <v>101</v>
      </c>
      <c r="G13" s="127"/>
      <c r="H13" s="242">
        <f>IF(H12="","",((H12)/(1-4.65%))-H12)</f>
        <v>97.535395909806084</v>
      </c>
      <c r="I13" s="243"/>
      <c r="J13" s="134"/>
    </row>
    <row r="14" spans="2:12" x14ac:dyDescent="0.25">
      <c r="B14" s="130"/>
      <c r="C14" s="126" t="str">
        <f>CONCATENATE("IOF - ",SIMULADOR!H15)</f>
        <v>IOF - Pessoa Física</v>
      </c>
      <c r="D14" s="133">
        <f>IF(SIMULADOR!I16="","",SIMULADOR!I16)</f>
        <v>25554.647070999839</v>
      </c>
      <c r="E14" s="6"/>
      <c r="F14" s="126" t="s">
        <v>102</v>
      </c>
      <c r="G14" s="127"/>
      <c r="H14" s="244">
        <f>IF(H12="","",SUM(H12:I13))</f>
        <v>2097.5353959098061</v>
      </c>
      <c r="I14" s="245"/>
      <c r="J14" s="134"/>
    </row>
    <row r="15" spans="2:12" x14ac:dyDescent="0.25">
      <c r="B15" s="130"/>
      <c r="C15" s="126" t="s">
        <v>103</v>
      </c>
      <c r="D15" s="133">
        <v>0</v>
      </c>
      <c r="E15" s="6"/>
      <c r="F15" s="136"/>
      <c r="G15" s="136"/>
      <c r="H15" s="137"/>
      <c r="I15" s="137"/>
      <c r="J15" s="134"/>
    </row>
    <row r="16" spans="2:12" x14ac:dyDescent="0.25">
      <c r="B16" s="130"/>
      <c r="C16" s="126" t="s">
        <v>166</v>
      </c>
      <c r="D16" s="133">
        <v>0</v>
      </c>
      <c r="E16" s="6"/>
      <c r="F16" s="126" t="s">
        <v>104</v>
      </c>
      <c r="G16" s="127"/>
      <c r="H16" s="242">
        <f>IF(D12="","",D12)</f>
        <v>756054.65</v>
      </c>
      <c r="I16" s="243"/>
      <c r="J16" s="134"/>
    </row>
    <row r="17" spans="2:10" x14ac:dyDescent="0.25">
      <c r="B17" s="130"/>
      <c r="C17" s="126" t="s">
        <v>105</v>
      </c>
      <c r="D17" s="133">
        <v>0</v>
      </c>
      <c r="E17" s="6"/>
      <c r="F17" s="126" t="s">
        <v>106</v>
      </c>
      <c r="G17" s="127"/>
      <c r="H17" s="242">
        <f>IF(D12="","",H16-D13+H14)</f>
        <v>727652.18539590982</v>
      </c>
      <c r="I17" s="243"/>
      <c r="J17" s="134"/>
    </row>
    <row r="18" spans="2:10" x14ac:dyDescent="0.25">
      <c r="B18" s="130"/>
      <c r="C18" s="131" t="s">
        <v>107</v>
      </c>
      <c r="D18" s="138">
        <f>IF(SIMULADOR!W13="","",(D12-SUM(D13:D17)))</f>
        <v>700000.00292900018</v>
      </c>
      <c r="E18" s="6"/>
      <c r="F18" s="126" t="s">
        <v>108</v>
      </c>
      <c r="G18" s="127"/>
      <c r="H18" s="227"/>
      <c r="I18" s="228"/>
      <c r="J18" s="134"/>
    </row>
    <row r="19" spans="2:10" x14ac:dyDescent="0.25">
      <c r="B19" s="140"/>
      <c r="C19" s="6"/>
      <c r="D19" s="141"/>
      <c r="E19" s="6"/>
      <c r="F19" s="6"/>
      <c r="G19" s="6"/>
      <c r="H19" s="6"/>
      <c r="I19" s="6"/>
      <c r="J19" s="134"/>
    </row>
    <row r="20" spans="2:10" x14ac:dyDescent="0.25">
      <c r="B20" s="120"/>
      <c r="C20" s="237" t="s">
        <v>109</v>
      </c>
      <c r="D20" s="237"/>
      <c r="E20" s="237"/>
      <c r="F20" s="237"/>
      <c r="G20" s="237"/>
      <c r="H20" s="237"/>
      <c r="I20" s="237"/>
      <c r="J20" s="121"/>
    </row>
    <row r="21" spans="2:10" s="18" customFormat="1" x14ac:dyDescent="0.25">
      <c r="B21" s="140"/>
      <c r="C21" s="142"/>
      <c r="D21" s="142"/>
      <c r="E21" s="142"/>
      <c r="F21" s="142"/>
      <c r="G21" s="142"/>
      <c r="H21" s="142"/>
      <c r="I21" s="142"/>
      <c r="J21" s="143"/>
    </row>
    <row r="22" spans="2:10" x14ac:dyDescent="0.25">
      <c r="B22" s="130"/>
      <c r="C22" s="144" t="s">
        <v>110</v>
      </c>
      <c r="D22" s="4"/>
      <c r="E22" s="6"/>
      <c r="F22" s="145" t="s">
        <v>160</v>
      </c>
      <c r="G22" s="145"/>
      <c r="H22" s="170" t="s">
        <v>161</v>
      </c>
      <c r="I22" s="170" t="s">
        <v>162</v>
      </c>
      <c r="J22" s="134"/>
    </row>
    <row r="23" spans="2:10" x14ac:dyDescent="0.25">
      <c r="B23" s="130"/>
      <c r="C23" s="126" t="s">
        <v>111</v>
      </c>
      <c r="D23" s="146">
        <f>D18+D16</f>
        <v>700000.00292900018</v>
      </c>
      <c r="E23" s="6"/>
      <c r="F23" s="126" t="s">
        <v>112</v>
      </c>
      <c r="G23" s="127"/>
      <c r="H23" s="146" t="str">
        <f>IF(SIMULADOR!$I$19=1,"Sem carência",-VLOOKUP(1,SIMULADOR!$N$14:$W$313,3,0))</f>
        <v>Sem carência</v>
      </c>
      <c r="I23" s="146">
        <f>IF(SIMULADOR!$I$19=1,-VLOOKUP(SIMULADOR!$I$19,SIMULADOR!$N$14:$W$313,3,0),-VLOOKUP((SIMULADOR!$I$19+1),SIMULADOR!$N$14:$W$313,3,0))</f>
        <v>3150.23</v>
      </c>
      <c r="J23" s="134"/>
    </row>
    <row r="24" spans="2:10" x14ac:dyDescent="0.25">
      <c r="B24" s="130"/>
      <c r="C24" s="126" t="s">
        <v>113</v>
      </c>
      <c r="D24" s="146">
        <f>SIMULADOR!I6</f>
        <v>7000000</v>
      </c>
      <c r="E24" s="6"/>
      <c r="F24" s="126" t="s">
        <v>40</v>
      </c>
      <c r="G24" s="127"/>
      <c r="H24" s="146" t="str">
        <f>IF(SIMULADOR!$I$19=1,"Sem carência",-VLOOKUP(1,SIMULADOR!$N$14:$W$313,4,0))</f>
        <v>Sem carência</v>
      </c>
      <c r="I24" s="146">
        <f>IF(SIMULADOR!$I$19=1,-VLOOKUP(SIMULADOR!$I$19,SIMULADOR!$N$14:$W$313,4,0),-VLOOKUP((SIMULADOR!$I$19+1),SIMULADOR!$N$14:$W$313,4,0))</f>
        <v>10263.44</v>
      </c>
      <c r="J24" s="134"/>
    </row>
    <row r="25" spans="2:10" x14ac:dyDescent="0.25">
      <c r="B25" s="130"/>
      <c r="C25" s="126" t="s">
        <v>73</v>
      </c>
      <c r="D25" s="147">
        <f>D12/D24</f>
        <v>0.10800780714285714</v>
      </c>
      <c r="E25" s="6"/>
      <c r="F25" s="126" t="s">
        <v>114</v>
      </c>
      <c r="G25" s="127"/>
      <c r="H25" s="146" t="str">
        <f>IF(SIMULADOR!$I$19=1,"Sem carência",-VLOOKUP(1,SIMULADOR!$N$14:$W$313,5,0))</f>
        <v>Sem carência</v>
      </c>
      <c r="I25" s="146">
        <f>IF(SIMULADOR!$I$19=1,-VLOOKUP(SIMULADOR!$I$19,SIMULADOR!$N$14:$W$313,5,0),-VLOOKUP((SIMULADOR!$I$19+1),SIMULADOR!$N$14:$W$313,5,0))</f>
        <v>13413.67</v>
      </c>
      <c r="J25" s="134"/>
    </row>
    <row r="26" spans="2:10" x14ac:dyDescent="0.25">
      <c r="B26" s="130"/>
      <c r="C26" s="126" t="s">
        <v>115</v>
      </c>
      <c r="D26" s="148">
        <f>SIMULADOR!I7</f>
        <v>240</v>
      </c>
      <c r="E26" s="6"/>
      <c r="F26" s="126" t="s">
        <v>42</v>
      </c>
      <c r="G26" s="127"/>
      <c r="H26" s="146" t="str">
        <f>IF(SIMULADOR!$I$19=1,"Sem carência",-VLOOKUP(1,SIMULADOR!$N$14:$W$313,6,0))</f>
        <v>Sem carência</v>
      </c>
      <c r="I26" s="146">
        <f>IF(SIMULADOR!$I$19=1,-VLOOKUP(SIMULADOR!$I$19,SIMULADOR!$N$14:$W$313,6,0),-VLOOKUP((SIMULADOR!$I$19+1),SIMULADOR!$N$14:$W$313,6,0))</f>
        <v>166.33</v>
      </c>
      <c r="J26" s="134"/>
    </row>
    <row r="27" spans="2:10" x14ac:dyDescent="0.25">
      <c r="B27" s="130"/>
      <c r="C27" s="126" t="s">
        <v>116</v>
      </c>
      <c r="D27" s="133"/>
      <c r="E27" s="6"/>
      <c r="F27" s="126" t="s">
        <v>43</v>
      </c>
      <c r="G27" s="127"/>
      <c r="H27" s="146" t="str">
        <f>IF(SIMULADOR!$I$19=1,"Sem carência",-VLOOKUP(1,SIMULADOR!$N$14:$W$313,7,0))</f>
        <v>Sem carência</v>
      </c>
      <c r="I27" s="146">
        <f>IF(SIMULADOR!$I$19=1,-VLOOKUP(SIMULADOR!$I$19,SIMULADOR!$N$14:$W$313,7,0),-VLOOKUP((SIMULADOR!$I$19+1),SIMULADOR!$N$14:$W$313,7,0))</f>
        <v>357</v>
      </c>
      <c r="J27" s="134"/>
    </row>
    <row r="28" spans="2:10" x14ac:dyDescent="0.25">
      <c r="B28" s="130"/>
      <c r="C28" s="126" t="s">
        <v>117</v>
      </c>
      <c r="D28" s="147"/>
      <c r="E28" s="6"/>
      <c r="F28" s="126" t="s">
        <v>44</v>
      </c>
      <c r="G28" s="127"/>
      <c r="H28" s="146" t="str">
        <f>IF(SIMULADOR!$I$19=1,"Sem carência",-VLOOKUP(1,SIMULADOR!$N$14:$W$313,8,0))</f>
        <v>Sem carência</v>
      </c>
      <c r="I28" s="146">
        <f>IF(SIMULADOR!$I$19=1,-VLOOKUP(SIMULADOR!$I$19,SIMULADOR!$N$14:$W$313,8,0),-VLOOKUP((SIMULADOR!$I$19+1),SIMULADOR!$N$14:$W$313,8,0))</f>
        <v>27.32</v>
      </c>
      <c r="J28" s="134"/>
    </row>
    <row r="29" spans="2:10" x14ac:dyDescent="0.25">
      <c r="B29" s="130"/>
      <c r="E29" s="6"/>
      <c r="F29" s="126" t="s">
        <v>118</v>
      </c>
      <c r="G29" s="127"/>
      <c r="H29" s="146" t="str">
        <f>IF(SIMULADOR!$I$19=1,"Sem carência",-VLOOKUP(1,SIMULADOR!$N$14:$W$313,9,0))</f>
        <v>Sem carência</v>
      </c>
      <c r="I29" s="146">
        <f>IF(SIMULADOR!$I$19=1,-VLOOKUP(SIMULADOR!$I$19,SIMULADOR!$N$14:$W$313,9,0),-VLOOKUP((SIMULADOR!$I$19+1),SIMULADOR!$N$14:$W$313,9,0))</f>
        <v>13964.32</v>
      </c>
      <c r="J29" s="134"/>
    </row>
    <row r="30" spans="2:10" x14ac:dyDescent="0.25">
      <c r="B30" s="130"/>
      <c r="C30" s="123"/>
      <c r="D30" s="124"/>
      <c r="E30" s="123"/>
      <c r="F30" s="123"/>
      <c r="G30" s="123"/>
      <c r="H30" s="123"/>
      <c r="I30" s="123"/>
      <c r="J30" s="134"/>
    </row>
    <row r="31" spans="2:10" x14ac:dyDescent="0.25">
      <c r="B31" s="130"/>
      <c r="C31" s="149"/>
      <c r="D31" s="150"/>
      <c r="E31" s="149"/>
      <c r="F31" s="149"/>
      <c r="G31" s="149"/>
      <c r="H31" s="149"/>
      <c r="I31" s="149"/>
      <c r="J31" s="134"/>
    </row>
    <row r="32" spans="2:10" x14ac:dyDescent="0.25">
      <c r="B32" s="130"/>
      <c r="C32" s="145" t="s">
        <v>119</v>
      </c>
      <c r="D32" s="141"/>
      <c r="E32" s="6"/>
      <c r="F32" s="6"/>
      <c r="G32" s="6"/>
      <c r="H32" s="6"/>
      <c r="I32" s="6"/>
      <c r="J32" s="134"/>
    </row>
    <row r="33" spans="2:10" x14ac:dyDescent="0.25">
      <c r="B33" s="130"/>
      <c r="C33" s="126" t="s">
        <v>120</v>
      </c>
      <c r="D33" s="139"/>
      <c r="E33" s="6"/>
      <c r="F33" s="126" t="s">
        <v>121</v>
      </c>
      <c r="G33" s="127"/>
      <c r="H33" s="227"/>
      <c r="I33" s="228"/>
      <c r="J33" s="134"/>
    </row>
    <row r="34" spans="2:10" x14ac:dyDescent="0.25">
      <c r="B34" s="130"/>
      <c r="C34" s="126" t="s">
        <v>122</v>
      </c>
      <c r="D34" s="139"/>
      <c r="E34" s="6"/>
      <c r="F34" s="126" t="s">
        <v>123</v>
      </c>
      <c r="G34" s="127"/>
      <c r="H34" s="227"/>
      <c r="I34" s="228"/>
      <c r="J34" s="134"/>
    </row>
    <row r="35" spans="2:10" x14ac:dyDescent="0.25">
      <c r="B35" s="130"/>
      <c r="C35" s="123"/>
      <c r="D35" s="124"/>
      <c r="E35" s="123"/>
      <c r="F35" s="123"/>
      <c r="G35" s="123"/>
      <c r="H35" s="123"/>
      <c r="I35" s="123"/>
      <c r="J35" s="134"/>
    </row>
    <row r="36" spans="2:10" x14ac:dyDescent="0.25">
      <c r="B36" s="130"/>
      <c r="C36" s="149"/>
      <c r="D36" s="150"/>
      <c r="E36" s="149"/>
      <c r="F36" s="149"/>
      <c r="G36" s="149"/>
      <c r="H36" s="149"/>
      <c r="I36" s="149"/>
      <c r="J36" s="134"/>
    </row>
    <row r="37" spans="2:10" x14ac:dyDescent="0.25">
      <c r="B37" s="130"/>
      <c r="C37" s="145" t="s">
        <v>124</v>
      </c>
      <c r="D37" s="141"/>
      <c r="E37" s="6"/>
      <c r="F37" s="145" t="s">
        <v>125</v>
      </c>
      <c r="G37" s="6"/>
      <c r="H37" s="6"/>
      <c r="I37" s="6"/>
      <c r="J37" s="134"/>
    </row>
    <row r="38" spans="2:10" x14ac:dyDescent="0.25">
      <c r="B38" s="130"/>
      <c r="C38" s="126" t="s">
        <v>126</v>
      </c>
      <c r="D38" s="151">
        <f>IF($D$12="","",$D$13)</f>
        <v>30500</v>
      </c>
      <c r="E38" s="6"/>
      <c r="F38" s="126" t="s">
        <v>127</v>
      </c>
      <c r="G38" s="127"/>
      <c r="H38" s="223">
        <f>IF(SIMULADOR!V7="","",SIMULADOR!V7)</f>
        <v>0.17563005617503014</v>
      </c>
      <c r="I38" s="224"/>
      <c r="J38" s="134"/>
    </row>
    <row r="39" spans="2:10" x14ac:dyDescent="0.25">
      <c r="B39" s="130"/>
      <c r="C39" s="126" t="s">
        <v>128</v>
      </c>
      <c r="D39" s="146">
        <f>SIMULADOR!F8</f>
        <v>1500</v>
      </c>
      <c r="E39" s="6"/>
      <c r="F39" s="126" t="s">
        <v>129</v>
      </c>
      <c r="G39" s="127"/>
      <c r="H39" s="221">
        <f>IF(SIMULADOR!V8="","",SIMULADOR!V8)</f>
        <v>1.3574999999999893E-2</v>
      </c>
      <c r="I39" s="222"/>
      <c r="J39" s="134"/>
    </row>
    <row r="40" spans="2:10" x14ac:dyDescent="0.25">
      <c r="B40" s="130"/>
      <c r="C40" s="126" t="s">
        <v>130</v>
      </c>
      <c r="D40" s="146">
        <v>0</v>
      </c>
      <c r="E40" s="6"/>
      <c r="F40" s="126" t="s">
        <v>131</v>
      </c>
      <c r="G40" s="127"/>
      <c r="H40" s="223">
        <f>IF(SIMULADOR!V9="","",SIMULADOR!V9)</f>
        <v>0.19289893584850359</v>
      </c>
      <c r="I40" s="224"/>
      <c r="J40" s="134"/>
    </row>
    <row r="41" spans="2:10" x14ac:dyDescent="0.25">
      <c r="B41" s="130"/>
      <c r="C41" s="126" t="s">
        <v>132</v>
      </c>
      <c r="D41" s="146">
        <f>IF(D12="","",H14)</f>
        <v>2097.5353959098061</v>
      </c>
      <c r="E41" s="6"/>
      <c r="F41" s="126" t="s">
        <v>133</v>
      </c>
      <c r="G41" s="127"/>
      <c r="H41" s="221">
        <f>IF(SIMULADOR!V10="","",SIMULADOR!V10)</f>
        <v>1.4807428390121351E-2</v>
      </c>
      <c r="I41" s="222"/>
      <c r="J41" s="134"/>
    </row>
    <row r="42" spans="2:10" x14ac:dyDescent="0.25">
      <c r="B42" s="130"/>
      <c r="C42" s="126" t="s">
        <v>134</v>
      </c>
      <c r="D42" s="146">
        <f>SIMULADOR!I5*3%</f>
        <v>21000</v>
      </c>
      <c r="E42" s="6"/>
      <c r="F42" s="126" t="s">
        <v>82</v>
      </c>
      <c r="G42" s="127"/>
      <c r="H42" s="219">
        <f>IF(SIMULADOR!I15="","",SIMULADOR!I15)</f>
        <v>3.3799999999999997E-2</v>
      </c>
      <c r="I42" s="220"/>
      <c r="J42" s="134"/>
    </row>
    <row r="43" spans="2:10" x14ac:dyDescent="0.25">
      <c r="B43" s="140"/>
      <c r="C43" s="126" t="s">
        <v>135</v>
      </c>
      <c r="D43" s="146">
        <v>0</v>
      </c>
      <c r="E43" s="6"/>
      <c r="F43" s="126" t="s">
        <v>136</v>
      </c>
      <c r="G43" s="127"/>
      <c r="H43" s="225" t="str">
        <f>IF(SIMULADOR!I9="","",SIMULADOR!I9)</f>
        <v>Pré-Fixado</v>
      </c>
      <c r="I43" s="226"/>
      <c r="J43" s="134"/>
    </row>
    <row r="44" spans="2:10" x14ac:dyDescent="0.25">
      <c r="B44" s="140"/>
      <c r="C44" s="126" t="s">
        <v>137</v>
      </c>
      <c r="D44" s="146">
        <v>0</v>
      </c>
      <c r="E44" s="6"/>
      <c r="F44" s="126" t="s">
        <v>138</v>
      </c>
      <c r="G44" s="127"/>
      <c r="H44" s="225" t="str">
        <f>IF(SIMULADOR!C7="","",SIMULADOR!C7)</f>
        <v>IPCA</v>
      </c>
      <c r="I44" s="226"/>
      <c r="J44" s="134"/>
    </row>
    <row r="45" spans="2:10" x14ac:dyDescent="0.25">
      <c r="B45" s="140"/>
      <c r="C45" s="126" t="s">
        <v>139</v>
      </c>
      <c r="D45" s="146">
        <v>0</v>
      </c>
      <c r="E45" s="6"/>
      <c r="F45" s="126" t="s">
        <v>140</v>
      </c>
      <c r="G45" s="127"/>
      <c r="H45" s="221" t="str">
        <f>IF(SIMULADOR!I8="","",SIMULADOR!I8)</f>
        <v>SAC</v>
      </c>
      <c r="I45" s="222"/>
      <c r="J45" s="134"/>
    </row>
    <row r="46" spans="2:10" x14ac:dyDescent="0.25">
      <c r="B46" s="140"/>
      <c r="C46" s="126" t="s">
        <v>168</v>
      </c>
      <c r="D46" s="146">
        <v>0</v>
      </c>
      <c r="E46" s="6"/>
      <c r="F46" s="126" t="s">
        <v>72</v>
      </c>
      <c r="G46" s="127"/>
      <c r="H46" s="219">
        <f>IF(SIMULADOR!F23="","",SIMULADOR!F23)</f>
        <v>2.2000000000000001E-4</v>
      </c>
      <c r="I46" s="220"/>
      <c r="J46" s="134"/>
    </row>
    <row r="47" spans="2:10" x14ac:dyDescent="0.25">
      <c r="B47" s="140"/>
      <c r="C47" s="131" t="s">
        <v>141</v>
      </c>
      <c r="D47" s="177">
        <f>IF(D12="","",(D38-SUM(D39:D46)))</f>
        <v>5902.4646040901935</v>
      </c>
      <c r="E47" s="6"/>
      <c r="F47" s="126" t="s">
        <v>74</v>
      </c>
      <c r="G47" s="127"/>
      <c r="H47" s="219">
        <f>IF(SIMULADOR!F24="","",SIMULADOR!F24)</f>
        <v>5.1E-5</v>
      </c>
      <c r="I47" s="220"/>
      <c r="J47" s="134"/>
    </row>
    <row r="48" spans="2:10" x14ac:dyDescent="0.25">
      <c r="B48" s="152"/>
      <c r="C48" s="153"/>
      <c r="D48" s="154"/>
      <c r="E48" s="153"/>
      <c r="F48" s="153"/>
      <c r="G48" s="153"/>
      <c r="H48" s="153"/>
      <c r="I48" s="153"/>
      <c r="J48" s="155"/>
    </row>
  </sheetData>
  <sheetProtection algorithmName="SHA-512" hashValue="idXPzoP6Cu8wQYUjigZX6usr8/cNle6NRWBEWhNxmzAqMxKjbv1Zg+AdnHxkjzT6KtRAPRgxJvDx7vHAFbq6ZQ==" saltValue="hwxqdVM1+n4+Cn/Hv6YKfA==" spinCount="100000" sheet="1" objects="1" scenarios="1"/>
  <mergeCells count="28">
    <mergeCell ref="D5:F5"/>
    <mergeCell ref="D6:F6"/>
    <mergeCell ref="D8:E8"/>
    <mergeCell ref="C20:I20"/>
    <mergeCell ref="C3:I3"/>
    <mergeCell ref="H5:I5"/>
    <mergeCell ref="H6:I6"/>
    <mergeCell ref="D7:I7"/>
    <mergeCell ref="H8:I8"/>
    <mergeCell ref="H12:I12"/>
    <mergeCell ref="H13:I13"/>
    <mergeCell ref="H14:I14"/>
    <mergeCell ref="H16:I16"/>
    <mergeCell ref="H17:I17"/>
    <mergeCell ref="H18:I18"/>
    <mergeCell ref="D9:E9"/>
    <mergeCell ref="H33:I33"/>
    <mergeCell ref="H34:I34"/>
    <mergeCell ref="H38:I38"/>
    <mergeCell ref="H44:I44"/>
    <mergeCell ref="H45:I45"/>
    <mergeCell ref="H46:I46"/>
    <mergeCell ref="H47:I47"/>
    <mergeCell ref="H39:I39"/>
    <mergeCell ref="H40:I40"/>
    <mergeCell ref="H41:I41"/>
    <mergeCell ref="H42:I42"/>
    <mergeCell ref="H43:I43"/>
  </mergeCells>
  <pageMargins left="0.23622047244094491" right="0.23622047244094491" top="0.74803149606299213" bottom="0.74803149606299213" header="0.31496062992125984" footer="0.31496062992125984"/>
  <pageSetup paperSize="9" scale="72" fitToHeight="10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Apoio!$N$4:$N$6</xm:f>
          </x14:formula1>
          <xm:sqref>H8:I8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">
    <tabColor theme="0" tint="-0.499984740745262"/>
  </sheetPr>
  <dimension ref="A3:X22"/>
  <sheetViews>
    <sheetView showGridLines="0" topLeftCell="X1" zoomScale="80" zoomScaleNormal="80" workbookViewId="0">
      <selection activeCell="L3" sqref="L3"/>
    </sheetView>
  </sheetViews>
  <sheetFormatPr defaultColWidth="9.140625" defaultRowHeight="15" outlineLevelCol="1" x14ac:dyDescent="0.25"/>
  <cols>
    <col min="1" max="1" width="14.5703125" style="31" hidden="1" customWidth="1" outlineLevel="1"/>
    <col min="2" max="2" width="9.85546875" style="31" hidden="1" customWidth="1" outlineLevel="1"/>
    <col min="3" max="3" width="2.140625" style="31" hidden="1" customWidth="1" outlineLevel="1"/>
    <col min="4" max="4" width="7.28515625" style="31" hidden="1" customWidth="1" outlineLevel="1"/>
    <col min="5" max="5" width="2.140625" style="31" hidden="1" customWidth="1" outlineLevel="1"/>
    <col min="6" max="6" width="7.28515625" style="31" hidden="1" customWidth="1" outlineLevel="1"/>
    <col min="7" max="7" width="2.140625" style="55" hidden="1" customWidth="1" outlineLevel="1"/>
    <col min="8" max="8" width="24.42578125" style="31" hidden="1" customWidth="1" outlineLevel="1"/>
    <col min="9" max="9" width="2.140625" style="31" hidden="1" customWidth="1" outlineLevel="1"/>
    <col min="10" max="10" width="8" style="31" hidden="1" customWidth="1" outlineLevel="1"/>
    <col min="11" max="11" width="2.140625" style="31" hidden="1" customWidth="1" outlineLevel="1"/>
    <col min="12" max="12" width="9.5703125" style="31" hidden="1" customWidth="1" outlineLevel="1"/>
    <col min="13" max="13" width="9.140625" style="31" hidden="1" customWidth="1" outlineLevel="1"/>
    <col min="14" max="14" width="35" style="31" hidden="1" customWidth="1" outlineLevel="1"/>
    <col min="15" max="15" width="10.28515625" style="31" hidden="1" customWidth="1" outlineLevel="1"/>
    <col min="16" max="16" width="12" style="31" hidden="1" customWidth="1" outlineLevel="1"/>
    <col min="17" max="17" width="19.7109375" style="31" hidden="1" customWidth="1" outlineLevel="1"/>
    <col min="18" max="18" width="14.85546875" style="31" hidden="1" customWidth="1" outlineLevel="1"/>
    <col min="19" max="19" width="8.140625" style="31" hidden="1" customWidth="1" outlineLevel="1"/>
    <col min="20" max="20" width="10" style="31" hidden="1" customWidth="1" outlineLevel="1"/>
    <col min="21" max="21" width="12.28515625" style="31" hidden="1" customWidth="1" outlineLevel="1"/>
    <col min="22" max="22" width="7.28515625" style="31" hidden="1" customWidth="1" outlineLevel="1"/>
    <col min="23" max="23" width="9.140625" style="31" hidden="1" customWidth="1" outlineLevel="1"/>
    <col min="24" max="24" width="9.140625" style="31" collapsed="1"/>
    <col min="25" max="16384" width="9.140625" style="31"/>
  </cols>
  <sheetData>
    <row r="3" spans="1:22" x14ac:dyDescent="0.25">
      <c r="B3" s="36" t="s">
        <v>82</v>
      </c>
      <c r="D3" s="36" t="s">
        <v>81</v>
      </c>
      <c r="F3" s="35" t="s">
        <v>80</v>
      </c>
      <c r="G3" s="52"/>
      <c r="H3" s="35" t="s">
        <v>83</v>
      </c>
      <c r="J3" s="35" t="s">
        <v>19</v>
      </c>
      <c r="K3" s="37"/>
      <c r="L3" s="35" t="s">
        <v>86</v>
      </c>
      <c r="N3" s="36" t="s">
        <v>98</v>
      </c>
      <c r="O3" s="36" t="s">
        <v>145</v>
      </c>
      <c r="P3" s="36" t="s">
        <v>146</v>
      </c>
      <c r="Q3" s="35" t="s">
        <v>142</v>
      </c>
      <c r="R3" s="35" t="s">
        <v>120</v>
      </c>
      <c r="S3" s="35" t="s">
        <v>121</v>
      </c>
      <c r="T3" s="35" t="s">
        <v>144</v>
      </c>
      <c r="U3" s="35" t="s">
        <v>143</v>
      </c>
      <c r="V3" s="35" t="s">
        <v>147</v>
      </c>
    </row>
    <row r="4" spans="1:22" x14ac:dyDescent="0.25">
      <c r="A4" s="34" t="s">
        <v>61</v>
      </c>
      <c r="B4" s="32">
        <v>3.3799999999999997E-2</v>
      </c>
      <c r="D4" s="31">
        <v>36</v>
      </c>
      <c r="F4" s="38" t="s">
        <v>89</v>
      </c>
      <c r="G4" s="53"/>
      <c r="H4" s="37" t="s">
        <v>84</v>
      </c>
      <c r="J4" s="37" t="s">
        <v>1</v>
      </c>
      <c r="L4" s="31">
        <v>1</v>
      </c>
      <c r="N4" s="157" t="s">
        <v>148</v>
      </c>
      <c r="O4" s="158">
        <v>2000</v>
      </c>
      <c r="P4" s="159">
        <v>5000152750</v>
      </c>
      <c r="Q4" s="157" t="s">
        <v>149</v>
      </c>
      <c r="R4" s="160" t="s">
        <v>150</v>
      </c>
      <c r="S4" s="161" t="s">
        <v>151</v>
      </c>
      <c r="T4" s="33" t="s">
        <v>152</v>
      </c>
      <c r="U4" s="162">
        <v>1101158017</v>
      </c>
      <c r="V4" s="33" t="s">
        <v>153</v>
      </c>
    </row>
    <row r="5" spans="1:22" x14ac:dyDescent="0.25">
      <c r="A5" s="34" t="s">
        <v>79</v>
      </c>
      <c r="B5" s="32">
        <v>1.8800000000000001E-2</v>
      </c>
      <c r="D5" s="31">
        <f>D4+6</f>
        <v>42</v>
      </c>
      <c r="F5" s="33" t="s">
        <v>78</v>
      </c>
      <c r="G5" s="54"/>
      <c r="H5" s="37" t="s">
        <v>92</v>
      </c>
      <c r="J5" s="37" t="s">
        <v>85</v>
      </c>
      <c r="L5" s="31">
        <f>L4+1</f>
        <v>2</v>
      </c>
      <c r="N5" s="157" t="s">
        <v>155</v>
      </c>
      <c r="O5" s="163">
        <v>0.01</v>
      </c>
      <c r="P5" s="159">
        <v>5000155580</v>
      </c>
      <c r="Q5" s="157" t="s">
        <v>156</v>
      </c>
      <c r="R5" s="160" t="s">
        <v>150</v>
      </c>
      <c r="S5" s="164">
        <v>3145</v>
      </c>
      <c r="T5" s="165" t="s">
        <v>157</v>
      </c>
      <c r="U5" s="162">
        <v>1101158017</v>
      </c>
      <c r="V5" s="33" t="s">
        <v>153</v>
      </c>
    </row>
    <row r="6" spans="1:22" x14ac:dyDescent="0.25">
      <c r="A6" s="178" t="s">
        <v>169</v>
      </c>
      <c r="B6" s="32">
        <v>0</v>
      </c>
      <c r="D6" s="31">
        <f t="shared" ref="D6:D22" si="0">D5+6</f>
        <v>48</v>
      </c>
      <c r="L6" s="31">
        <f t="shared" ref="L6:L15" si="1">L5+1</f>
        <v>3</v>
      </c>
      <c r="N6" s="37" t="s">
        <v>165</v>
      </c>
    </row>
    <row r="7" spans="1:22" x14ac:dyDescent="0.25">
      <c r="A7" s="32" t="s">
        <v>72</v>
      </c>
      <c r="B7" s="32">
        <v>2.2000000000000001E-4</v>
      </c>
      <c r="D7" s="31">
        <f t="shared" si="0"/>
        <v>54</v>
      </c>
      <c r="L7" s="31">
        <f t="shared" si="1"/>
        <v>4</v>
      </c>
    </row>
    <row r="8" spans="1:22" x14ac:dyDescent="0.25">
      <c r="A8" s="32" t="s">
        <v>72</v>
      </c>
      <c r="B8" s="32">
        <v>0</v>
      </c>
      <c r="D8" s="31">
        <f t="shared" si="0"/>
        <v>60</v>
      </c>
      <c r="L8" s="31">
        <f t="shared" si="1"/>
        <v>5</v>
      </c>
    </row>
    <row r="9" spans="1:22" x14ac:dyDescent="0.25">
      <c r="A9" s="32" t="s">
        <v>74</v>
      </c>
      <c r="B9" s="32">
        <v>5.1E-5</v>
      </c>
      <c r="D9" s="31">
        <f t="shared" si="0"/>
        <v>66</v>
      </c>
      <c r="L9" s="31">
        <f t="shared" si="1"/>
        <v>6</v>
      </c>
    </row>
    <row r="10" spans="1:22" x14ac:dyDescent="0.25">
      <c r="A10" s="32" t="s">
        <v>74</v>
      </c>
      <c r="B10" s="32">
        <v>0</v>
      </c>
      <c r="D10" s="31">
        <f t="shared" si="0"/>
        <v>72</v>
      </c>
      <c r="L10" s="31">
        <f t="shared" si="1"/>
        <v>7</v>
      </c>
    </row>
    <row r="11" spans="1:22" x14ac:dyDescent="0.25">
      <c r="D11" s="31">
        <f t="shared" si="0"/>
        <v>78</v>
      </c>
      <c r="L11" s="31">
        <f t="shared" si="1"/>
        <v>8</v>
      </c>
    </row>
    <row r="12" spans="1:22" x14ac:dyDescent="0.25">
      <c r="D12" s="31">
        <f t="shared" si="0"/>
        <v>84</v>
      </c>
      <c r="L12" s="31">
        <f t="shared" si="1"/>
        <v>9</v>
      </c>
    </row>
    <row r="13" spans="1:22" x14ac:dyDescent="0.25">
      <c r="D13" s="31">
        <f t="shared" si="0"/>
        <v>90</v>
      </c>
      <c r="L13" s="31">
        <f t="shared" si="1"/>
        <v>10</v>
      </c>
    </row>
    <row r="14" spans="1:22" x14ac:dyDescent="0.25">
      <c r="D14" s="31">
        <f t="shared" si="0"/>
        <v>96</v>
      </c>
      <c r="L14" s="31">
        <f t="shared" si="1"/>
        <v>11</v>
      </c>
    </row>
    <row r="15" spans="1:22" x14ac:dyDescent="0.25">
      <c r="D15" s="31">
        <f t="shared" si="0"/>
        <v>102</v>
      </c>
      <c r="L15" s="31">
        <f t="shared" si="1"/>
        <v>12</v>
      </c>
    </row>
    <row r="16" spans="1:22" x14ac:dyDescent="0.25">
      <c r="D16" s="31">
        <f t="shared" si="0"/>
        <v>108</v>
      </c>
      <c r="L16" s="31">
        <f>L15+6</f>
        <v>18</v>
      </c>
    </row>
    <row r="17" spans="4:12" x14ac:dyDescent="0.25">
      <c r="D17" s="31">
        <f t="shared" si="0"/>
        <v>114</v>
      </c>
      <c r="L17" s="31">
        <f t="shared" ref="L17:L19" si="2">L16+6</f>
        <v>24</v>
      </c>
    </row>
    <row r="18" spans="4:12" x14ac:dyDescent="0.25">
      <c r="D18" s="31">
        <f t="shared" si="0"/>
        <v>120</v>
      </c>
      <c r="L18" s="31">
        <f t="shared" si="2"/>
        <v>30</v>
      </c>
    </row>
    <row r="19" spans="4:12" x14ac:dyDescent="0.25">
      <c r="D19" s="31">
        <f t="shared" si="0"/>
        <v>126</v>
      </c>
      <c r="L19" s="31">
        <f t="shared" si="2"/>
        <v>36</v>
      </c>
    </row>
    <row r="20" spans="4:12" x14ac:dyDescent="0.25">
      <c r="D20" s="31">
        <f t="shared" si="0"/>
        <v>132</v>
      </c>
    </row>
    <row r="21" spans="4:12" x14ac:dyDescent="0.25">
      <c r="D21" s="31">
        <f t="shared" si="0"/>
        <v>138</v>
      </c>
    </row>
    <row r="22" spans="4:12" x14ac:dyDescent="0.25">
      <c r="D22" s="31">
        <f t="shared" si="0"/>
        <v>144</v>
      </c>
    </row>
  </sheetData>
  <sheetProtection algorithmName="SHA-512" hashValue="pxkq12A/wj52szMLs7xNw+vGi+R4jR+d1MAOxUtgsWhLHBwm2vVvX8LyJbu2b7xRd6nIRI1h+dMhxlH7tNV24Q==" saltValue="fRSsPjJjlEbuwhDV5GSXe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SIMULADOR</vt:lpstr>
      <vt:lpstr>ORIENTAÇÃO SIMULADOR</vt:lpstr>
      <vt:lpstr>TABELA DE TAXAS</vt:lpstr>
      <vt:lpstr>QR</vt:lpstr>
      <vt:lpstr>Apoio</vt:lpstr>
      <vt:lpstr>SIMULADOR!Area_de_impressao</vt:lpstr>
      <vt:lpstr>QR!Titulos_de_impressao</vt:lpstr>
    </vt:vector>
  </TitlesOfParts>
  <Company>Cyrela Brazil Realty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Chindi Minomo Filho</dc:creator>
  <cp:lastModifiedBy>Carla Aquino</cp:lastModifiedBy>
  <cp:lastPrinted>2021-05-10T13:57:03Z</cp:lastPrinted>
  <dcterms:created xsi:type="dcterms:W3CDTF">2020-01-27T15:03:53Z</dcterms:created>
  <dcterms:modified xsi:type="dcterms:W3CDTF">2021-05-10T15:33:49Z</dcterms:modified>
</cp:coreProperties>
</file>